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il0702ra\Desktop\"/>
    </mc:Choice>
  </mc:AlternateContent>
  <xr:revisionPtr revIDLastSave="0" documentId="13_ncr:1_{61A0B09E-6C98-4F44-A091-9B72616BCB54}" xr6:coauthVersionLast="46" xr6:coauthVersionMax="46" xr10:uidLastSave="{00000000-0000-0000-0000-000000000000}"/>
  <bookViews>
    <workbookView xWindow="-108" yWindow="-108" windowWidth="23256" windowHeight="12576" tabRatio="689" xr2:uid="{00000000-000D-0000-FFFF-FFFF00000000}"/>
  </bookViews>
  <sheets>
    <sheet name="Tontin tiedot" sheetId="6" r:id="rId1"/>
    <sheet name="Siniviherkerroin" sheetId="11" r:id="rId2"/>
    <sheet name="Tulokset" sheetId="28" r:id="rId3"/>
  </sheets>
  <definedNames>
    <definedName name="_xlnm.Print_Area" localSheetId="2">Tulokset!$B$1:$T$56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1" l="1"/>
  <c r="C15" i="11"/>
  <c r="L25" i="11"/>
  <c r="O24" i="11" l="1"/>
  <c r="O23" i="11"/>
  <c r="C45" i="11"/>
  <c r="M25" i="11" s="1"/>
  <c r="O25" i="11" s="1"/>
  <c r="G48" i="11"/>
  <c r="G47" i="11"/>
  <c r="G69" i="11"/>
  <c r="G46" i="11"/>
  <c r="G45" i="11"/>
  <c r="G43" i="11"/>
  <c r="G66" i="11" l="1"/>
  <c r="G59" i="11"/>
  <c r="G60" i="11"/>
  <c r="G61" i="11"/>
  <c r="G58" i="11"/>
  <c r="G57" i="11"/>
  <c r="G56" i="11"/>
  <c r="G55" i="11"/>
  <c r="G54" i="11"/>
  <c r="G53" i="11"/>
  <c r="G52" i="11"/>
  <c r="G51" i="11"/>
  <c r="G50" i="11"/>
  <c r="G49" i="11"/>
  <c r="G44" i="11"/>
  <c r="G78" i="11" l="1"/>
  <c r="C50" i="28"/>
  <c r="G71" i="11"/>
  <c r="G77" i="11"/>
  <c r="L5" i="11" l="1"/>
  <c r="L16" i="11" l="1"/>
  <c r="L18" i="11"/>
  <c r="M18" i="11" s="1"/>
  <c r="O18" i="11" s="1"/>
  <c r="L14" i="11"/>
  <c r="K12" i="11" l="1"/>
  <c r="C11" i="11" l="1"/>
  <c r="B26" i="6" l="1"/>
  <c r="B27" i="6"/>
  <c r="B25" i="6"/>
  <c r="B24" i="6"/>
  <c r="B23" i="6"/>
  <c r="A11" i="11" l="1"/>
  <c r="A12" i="11" s="1"/>
  <c r="K30" i="11" l="1"/>
  <c r="X28" i="28" l="1"/>
  <c r="B2" i="6" l="1"/>
  <c r="R5" i="28" l="1"/>
  <c r="D5" i="28"/>
  <c r="R9" i="28" l="1"/>
  <c r="N9" i="28"/>
  <c r="Q7" i="28"/>
  <c r="I11" i="28"/>
  <c r="E11" i="28"/>
  <c r="H9" i="28"/>
  <c r="H8" i="28"/>
  <c r="H7" i="28"/>
  <c r="I6" i="28"/>
  <c r="R6" i="28"/>
  <c r="N7" i="28"/>
  <c r="D8" i="28"/>
  <c r="M5" i="28"/>
  <c r="D9" i="28"/>
  <c r="D6" i="28"/>
  <c r="A8" i="11"/>
  <c r="G14" i="28" s="1"/>
  <c r="X34" i="28"/>
  <c r="I16" i="28"/>
  <c r="G70" i="11"/>
  <c r="G76" i="11"/>
  <c r="G72" i="11"/>
  <c r="G73" i="11"/>
  <c r="G74" i="11"/>
  <c r="G75" i="11"/>
  <c r="G67" i="11"/>
  <c r="G62" i="11"/>
  <c r="G63" i="11"/>
  <c r="G64" i="11"/>
  <c r="G65" i="11"/>
  <c r="I15" i="28"/>
  <c r="G15" i="28"/>
  <c r="K16" i="11"/>
  <c r="L21" i="11"/>
  <c r="L20" i="11"/>
  <c r="L12" i="11"/>
  <c r="L13" i="11"/>
  <c r="L15" i="11"/>
  <c r="L17" i="11"/>
  <c r="L11" i="11"/>
  <c r="L6" i="11"/>
  <c r="K29" i="11"/>
  <c r="K11" i="11"/>
  <c r="K6" i="11"/>
  <c r="K5" i="11"/>
  <c r="K4" i="11"/>
  <c r="K3" i="11"/>
  <c r="K2" i="11"/>
  <c r="K8" i="11"/>
  <c r="K7" i="11"/>
  <c r="K37" i="11"/>
  <c r="K31" i="11"/>
  <c r="K28" i="11"/>
  <c r="K32" i="11"/>
  <c r="K33" i="11"/>
  <c r="K34" i="11"/>
  <c r="K35" i="11"/>
  <c r="K36" i="11"/>
  <c r="K27" i="11"/>
  <c r="K10" i="11"/>
  <c r="K9" i="11"/>
  <c r="K20" i="11"/>
  <c r="K13" i="11"/>
  <c r="K14" i="11"/>
  <c r="K15" i="11"/>
  <c r="K17" i="11"/>
  <c r="K18" i="11"/>
  <c r="K19" i="11"/>
  <c r="K21" i="11"/>
  <c r="O22" i="11"/>
  <c r="X30" i="28" l="1"/>
  <c r="C47" i="11"/>
  <c r="I26" i="11" s="1"/>
  <c r="A15" i="11" s="1"/>
  <c r="M12" i="11"/>
  <c r="O12" i="11" s="1"/>
  <c r="C41" i="11"/>
  <c r="C8" i="11" s="1"/>
  <c r="X37" i="28"/>
  <c r="I17" i="28"/>
  <c r="X27" i="28"/>
  <c r="X26" i="28"/>
  <c r="X29" i="28"/>
  <c r="L42" i="28"/>
  <c r="L12" i="28"/>
  <c r="L20" i="28"/>
  <c r="G16" i="28"/>
  <c r="B29" i="6"/>
  <c r="C42" i="28" s="1"/>
  <c r="X36" i="28"/>
  <c r="L34" i="28"/>
  <c r="I14" i="28" l="1"/>
  <c r="G68" i="11"/>
  <c r="L26" i="11"/>
  <c r="M26" i="11" s="1"/>
  <c r="O26" i="11" s="1"/>
  <c r="A34" i="11"/>
  <c r="M21" i="11"/>
  <c r="O21" i="11" s="1"/>
  <c r="M13" i="11"/>
  <c r="O13" i="11" s="1"/>
  <c r="M17" i="11"/>
  <c r="O17" i="11" s="1"/>
  <c r="M5" i="11"/>
  <c r="O5" i="11" s="1"/>
  <c r="M6" i="11"/>
  <c r="O6" i="11" s="1"/>
  <c r="M11" i="11"/>
  <c r="O11" i="11" s="1"/>
  <c r="M15" i="11"/>
  <c r="O15" i="11" s="1"/>
  <c r="M16" i="11"/>
  <c r="O16" i="11" s="1"/>
  <c r="M7" i="11"/>
  <c r="O7" i="11" s="1"/>
  <c r="M10" i="11"/>
  <c r="O10" i="11" s="1"/>
  <c r="M9" i="11"/>
  <c r="O9" i="11" s="1"/>
  <c r="M14" i="11"/>
  <c r="O14" i="11" s="1"/>
  <c r="M3" i="11"/>
  <c r="O3" i="11" s="1"/>
  <c r="M20" i="11"/>
  <c r="O20" i="11" s="1"/>
  <c r="M19" i="11"/>
  <c r="O19" i="11" s="1"/>
  <c r="M8" i="11"/>
  <c r="O8" i="11" s="1"/>
  <c r="M2" i="11"/>
  <c r="O2" i="11" s="1"/>
  <c r="M4" i="11"/>
  <c r="O4" i="11" s="1"/>
  <c r="C16" i="11" l="1"/>
  <c r="G17" i="28"/>
  <c r="L39" i="28"/>
  <c r="X41" i="28" l="1"/>
  <c r="X38" i="28" s="1"/>
</calcChain>
</file>

<file path=xl/sharedStrings.xml><?xml version="1.0" encoding="utf-8"?>
<sst xmlns="http://schemas.openxmlformats.org/spreadsheetml/2006/main" count="179" uniqueCount="138">
  <si>
    <r>
      <rPr>
        <b/>
        <sz val="14"/>
        <color indexed="8"/>
        <rFont val="Calibri"/>
        <family val="2"/>
      </rPr>
      <t>Weighted area, m</t>
    </r>
    <r>
      <rPr>
        <b/>
        <vertAlign val="superscript"/>
        <sz val="14"/>
        <color indexed="8"/>
        <rFont val="Calibri"/>
        <family val="2"/>
      </rPr>
      <t>2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</si>
  <si>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</si>
  <si>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</si>
  <si>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</si>
  <si>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</si>
  <si>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</si>
  <si>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</si>
  <si>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</si>
  <si>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</si>
  <si>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</si>
  <si>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</si>
  <si>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</si>
  <si>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</si>
  <si>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</si>
  <si>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</si>
  <si>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r>
      <rPr>
        <sz val="12"/>
        <rFont val="Calibri"/>
        <family val="2"/>
      </rPr>
      <t>m²</t>
    </r>
  </si>
  <si>
    <t>Quotient</t>
  </si>
  <si>
    <t>Weighted C</t>
  </si>
  <si>
    <t>m²</t>
  </si>
  <si>
    <t>Lupanumero</t>
  </si>
  <si>
    <t>Kortteli ja tontti/Rakennuspaikka</t>
  </si>
  <si>
    <t>Tontin osoite</t>
  </si>
  <si>
    <t>Nimi</t>
  </si>
  <si>
    <t>Jakeluosoite</t>
  </si>
  <si>
    <t>Sähköpostiosoite</t>
  </si>
  <si>
    <r>
      <rPr>
        <sz val="12"/>
        <rFont val="Calibri"/>
        <family val="2"/>
      </rPr>
      <t>m</t>
    </r>
    <r>
      <rPr>
        <vertAlign val="superscript"/>
        <sz val="12"/>
        <rFont val="Calibri"/>
        <family val="2"/>
      </rPr>
      <t>3</t>
    </r>
  </si>
  <si>
    <t>Element group</t>
  </si>
  <si>
    <t>Share of total weighted area, %</t>
  </si>
  <si>
    <t>Lot retention</t>
  </si>
  <si>
    <t>Retention</t>
  </si>
  <si>
    <t>Kaupunginosa/kylä</t>
  </si>
  <si>
    <t>Hakijan nimi</t>
  </si>
  <si>
    <t xml:space="preserve">Viherkerroin </t>
  </si>
  <si>
    <t>Viherkerroin</t>
  </si>
  <si>
    <t>1 Rakennuspaikka</t>
  </si>
  <si>
    <t>Elementti-tyyppi</t>
  </si>
  <si>
    <t>Elementin määritelmä</t>
  </si>
  <si>
    <t>Yksikkö</t>
  </si>
  <si>
    <r>
      <t>Painotettu pinta-ala, m</t>
    </r>
    <r>
      <rPr>
        <b/>
        <vertAlign val="superscript"/>
        <sz val="14"/>
        <color indexed="8"/>
        <rFont val="Calibri"/>
        <family val="2"/>
      </rPr>
      <t>2</t>
    </r>
  </si>
  <si>
    <t>kpl</t>
  </si>
  <si>
    <t>Säilytettävä kasvillisuus ja maaperä</t>
  </si>
  <si>
    <t>Istutettava / kylvettävä kasvillisuus</t>
  </si>
  <si>
    <t>Pinnoitteet</t>
  </si>
  <si>
    <t>Säilytettävä luonnonniitty tai luonnonmukainen pohjakasvillisuus</t>
  </si>
  <si>
    <t>Säilytettävä luonnonmukainen avokallio (ainakin osittain paljas kalliopinta, vähäisesti puustoa)</t>
  </si>
  <si>
    <t>Isokokoinen puu, täysikasvuisena &gt; 10 m  (à 25 m²)</t>
  </si>
  <si>
    <t>Pienikokoinen puu, täysikasvuisena ≤ 10 m  (à 15 m²)</t>
  </si>
  <si>
    <t>Isot pensaat  (à 3 m²)</t>
  </si>
  <si>
    <t>Muut pensaat</t>
  </si>
  <si>
    <t>Perennat</t>
  </si>
  <si>
    <t>Niitty tai keto</t>
  </si>
  <si>
    <t>Viljelypalstat</t>
  </si>
  <si>
    <t>Nurmikko</t>
  </si>
  <si>
    <t>Viherseinä, vertikaalinen pinta-ala</t>
  </si>
  <si>
    <t xml:space="preserve">Varjostava isokokoinen puu (à 25 m²) rakennuksen etelä- ja lounaispuolella (erityisesti lehtipuut) </t>
  </si>
  <si>
    <t xml:space="preserve">Varjostava pienikokoinen puu (à 15 m²) rakennuksen etelä- ja lounaispuolella (erityisesti lehtipuut) </t>
  </si>
  <si>
    <t>Perhosniityt tai näyttävästi kukkivat/tuoksuvat istutukset</t>
  </si>
  <si>
    <t>Viljelylaatikot</t>
  </si>
  <si>
    <t>Leikkimiseen tai urheiluun osoitettu läpäisevä pinta (esim. hiekka- tai sorapintaiset leikkipaikat, urheilukenttänurmi)</t>
  </si>
  <si>
    <t>Yhteiskäytössä olevat kattoterassit tai parvekkeet, joissa kasvillisuutta vähintään 10 % pinta-alasta</t>
  </si>
  <si>
    <t>Läpäisemätön pinta</t>
  </si>
  <si>
    <t>Hulevesimäärä m³</t>
  </si>
  <si>
    <t>Valuma-kerroin C</t>
  </si>
  <si>
    <t>Pinta-ala, tilavuus tai lukumäärä</t>
  </si>
  <si>
    <r>
      <t>Tontin ala, m</t>
    </r>
    <r>
      <rPr>
        <vertAlign val="superscript"/>
        <sz val="12"/>
        <rFont val="Calibri"/>
        <family val="2"/>
      </rPr>
      <t>2</t>
    </r>
  </si>
  <si>
    <t>Hule-100</t>
  </si>
  <si>
    <r>
      <t xml:space="preserve">2 Hakija 
</t>
    </r>
    <r>
      <rPr>
        <b/>
        <sz val="10"/>
        <rFont val="Calibri"/>
        <family val="2"/>
      </rPr>
      <t>(tontin omistaja tai haltija)</t>
    </r>
  </si>
  <si>
    <r>
      <t>Rakennusten peittopinta-ala, m</t>
    </r>
    <r>
      <rPr>
        <vertAlign val="superscript"/>
        <sz val="12"/>
        <rFont val="Calibri"/>
        <family val="2"/>
      </rPr>
      <t>2</t>
    </r>
  </si>
  <si>
    <t>Kortteli ja tontti
Rakennuspaikka</t>
  </si>
  <si>
    <t>Saavutettu</t>
  </si>
  <si>
    <t>Läpäisevä pinta-ala</t>
  </si>
  <si>
    <t>Vaadittu</t>
  </si>
  <si>
    <t xml:space="preserve"> TULOSKORTTI</t>
  </si>
  <si>
    <t>Hulevesien hallintarakenteet:</t>
  </si>
  <si>
    <t>Hulevesien hallintarakenteer</t>
  </si>
  <si>
    <t>Hulevesien bonus-elementit</t>
  </si>
  <si>
    <t>Pinnoiteet</t>
  </si>
  <si>
    <t>Lapäisemätön</t>
  </si>
  <si>
    <t>Bonukset</t>
  </si>
  <si>
    <t>Säilytettävä kasvillisuus ja maaperä:</t>
  </si>
  <si>
    <t>Istutettava / kylvettävä kasvillisuus:</t>
  </si>
  <si>
    <t>Bonukset:</t>
  </si>
  <si>
    <t>Läpäisemätön pinta:</t>
  </si>
  <si>
    <t>Pinnoitteet:</t>
  </si>
  <si>
    <t>Huomiot:</t>
  </si>
  <si>
    <t>1/2</t>
  </si>
  <si>
    <t>2/2</t>
  </si>
  <si>
    <t>Rakennusten peittopinta-ala</t>
  </si>
  <si>
    <t>Tontin ala</t>
  </si>
  <si>
    <t>Päiväys</t>
  </si>
  <si>
    <t>Sivu</t>
  </si>
  <si>
    <t>Pinta-alatiedot ovat oleellisia lähtötietoja taulukon toiminnan kannalta. Jos niitä ei täytetä, varoittaa taulukko asiasta muuttamalla kentän punaiseksi.</t>
  </si>
  <si>
    <r>
      <t xml:space="preserve">3 Rajaukset </t>
    </r>
    <r>
      <rPr>
        <b/>
        <sz val="10"/>
        <rFont val="Calibri"/>
        <family val="2"/>
      </rPr>
      <t>(asemakaavasta ja/tai rakennusjärjestyksestä)</t>
    </r>
  </si>
  <si>
    <t>Bonus-elementit</t>
  </si>
  <si>
    <t>Puoliläpäisevät pinnoitteet (esim. isosaumainen nurmi- tai hulevesikiveys)</t>
  </si>
  <si>
    <t>Läpäisevät pinnoitteet (esim. sora, hiekka)</t>
  </si>
  <si>
    <r>
      <t>Hulevesiratkaisujen viivytystilavuus m</t>
    </r>
    <r>
      <rPr>
        <vertAlign val="superscript"/>
        <sz val="14"/>
        <color indexed="8"/>
        <rFont val="Calibri"/>
        <family val="2"/>
      </rPr>
      <t>3</t>
    </r>
  </si>
  <si>
    <t>Maksaruohokatto eli ohutrakenteinen, ekstensiivinen viherkatto. Kasvualustan paksuus 6-14 cm.</t>
  </si>
  <si>
    <t xml:space="preserve">Niitty-, keto- tai heinäkatto eli ohutrakenteinen, puoli-intensiivinen viherkatto. Kasvualustan paksuus 15 – 30 cm </t>
  </si>
  <si>
    <t>HUOM! Merkitse hulevesirakenteiden mahd. kasvillisuus lisäksi erikseen omille elementtiriveilleen.</t>
  </si>
  <si>
    <t xml:space="preserve">Hulevesien hallintarakenteet </t>
  </si>
  <si>
    <t>Hulevesien kerääminen läpäisemättömiltä pinnoilta kasteluvedeksi tai ohjaaminen hallitusti läpäisevälle kasvillisuudelle maassa.</t>
  </si>
  <si>
    <t>Läpäisemätön pinta-ala. Taulukko laskee tämän automaattisesti.</t>
  </si>
  <si>
    <t>Hulevesiratkaisujen viivytystilavuus m³</t>
  </si>
  <si>
    <r>
      <rPr>
        <b/>
        <sz val="12"/>
        <rFont val="Calibri"/>
        <family val="2"/>
      </rPr>
      <t>Vaadittu huleveden viivytys</t>
    </r>
    <r>
      <rPr>
        <sz val="12"/>
        <rFont val="Calibri"/>
        <family val="2"/>
      </rPr>
      <t>, 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/100 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läpäisemätöntä pintaa</t>
    </r>
  </si>
  <si>
    <t>Painotus</t>
  </si>
  <si>
    <t>Kukkivat puut ja pensaat - väh. 3 lajia/100 m²</t>
  </si>
  <si>
    <r>
      <t>Painotettu pinta-ala yht., m</t>
    </r>
    <r>
      <rPr>
        <b/>
        <vertAlign val="superscript"/>
        <sz val="12"/>
        <color theme="0"/>
        <rFont val="Calibri"/>
        <family val="2"/>
      </rPr>
      <t>2</t>
    </r>
  </si>
  <si>
    <r>
      <rPr>
        <sz val="10"/>
        <rFont val="Calibri"/>
        <family val="2"/>
      </rPr>
      <t xml:space="preserve">Kivipintainen hallintarakenne (viivytyskuoppa, kivipesä tai suodatuskaista, </t>
    </r>
    <r>
      <rPr>
        <b/>
        <sz val="10"/>
        <rFont val="Calibri"/>
        <family val="2"/>
      </rPr>
      <t>tehollinen varastointitilavuus</t>
    </r>
    <r>
      <rPr>
        <sz val="10"/>
        <rFont val="Calibri"/>
        <family val="2"/>
      </rPr>
      <t>)</t>
    </r>
  </si>
  <si>
    <r>
      <t xml:space="preserve">Viivytyskaivanto, -kasetti tai -säiliö (maanalainen, </t>
    </r>
    <r>
      <rPr>
        <b/>
        <sz val="10"/>
        <rFont val="Calibri"/>
        <family val="2"/>
      </rPr>
      <t>varastointitilavuus</t>
    </r>
    <r>
      <rPr>
        <sz val="10"/>
        <rFont val="Calibri"/>
        <family val="2"/>
      </rPr>
      <t>)</t>
    </r>
  </si>
  <si>
    <t xml:space="preserve">Viljelyyn soveltuvat istutukset: hedelmäpuut (à 10 m²) tai marjapensaat (à 3 m²) </t>
  </si>
  <si>
    <t>Luonnon monimuotoisuutta ja/tai eläimistön elinolosuhteita tukevat elementit, kuten lahopuu tai kannot, hyönteishotelli, lepakkopönttö tai siilin talvipesä</t>
  </si>
  <si>
    <t>Säilytettävä hyväkuntoinen isokokoinen puu (täysikasvuisena &gt; 10 m), korkeus vähintään 3 m  (à 25 m²)</t>
  </si>
  <si>
    <t>Säilytettävä hyväkuntoinen puu (1,5-3 m), tai iso pensas (à 3 m²)</t>
  </si>
  <si>
    <t>Säilytettävä hyväkuntoinen pienikokoinen puu (täysikasvuisena ≤ 10 m), korkeus vähintään 3 m  (à 15 m²)</t>
  </si>
  <si>
    <r>
      <t xml:space="preserve">Kasvipintainen hallintarakenne (sadepuutarha, biosuodatus tai viivytysrakenne, </t>
    </r>
    <r>
      <rPr>
        <b/>
        <sz val="10"/>
        <rFont val="Calibri"/>
        <family val="2"/>
      </rPr>
      <t>tehollinen varastointitilavuus</t>
    </r>
    <r>
      <rPr>
        <sz val="10"/>
        <rFont val="Calibri"/>
        <family val="2"/>
      </rPr>
      <t xml:space="preserve">). </t>
    </r>
    <r>
      <rPr>
        <sz val="10"/>
        <color rgb="FFFF0000"/>
        <rFont val="Calibri"/>
        <family val="2"/>
      </rPr>
      <t>Merkitse kasvillisuus erikseen.</t>
    </r>
  </si>
  <si>
    <t>Alueella luontaisesti esiintyvät lajit- väh. 5 lajia/100 m²</t>
  </si>
  <si>
    <t>Viherkertoimen tavoitetaso</t>
  </si>
  <si>
    <t xml:space="preserve">Bonus-elementistä voi saada lisäpisteitä vain kerran yllä täytettyä elementtiä kohden. Esimerkiksi samaa puuta ei voi merkitä sekä ”kukkivaksi” että ”viljelyyn soveltuvaksi istutukseksi”. </t>
  </si>
  <si>
    <t>Kattopuutarha eli intensiivinen viherkatto. Kasvualustan paksuus &gt;30 cm</t>
  </si>
  <si>
    <t>Päivämäärä</t>
  </si>
  <si>
    <t>Läpäisevät ja puoliläpäisevät pinnoitteet</t>
  </si>
  <si>
    <r>
      <t>Vaadittu läpäisevän pinta-alan osuus tontin</t>
    </r>
    <r>
      <rPr>
        <sz val="12"/>
        <rFont val="Calibri"/>
        <family val="2"/>
      </rPr>
      <t xml:space="preserve"> pinta-alasta, %</t>
    </r>
  </si>
  <si>
    <t>Monivuotiset köynnökset (á 2m2, vertikaalista pinta-alaa)</t>
  </si>
  <si>
    <t>Tontin keskimääräinen valumakerroin</t>
  </si>
  <si>
    <t>Täytä ainoastaan "Pinta-ala, tilavuus tai lukumäärä" -sarake ja huomioi yksikkö. Jokaisesta ryhmästä olisi hyvä valita ainakin yksi elementti, jos mahdollista.</t>
  </si>
  <si>
    <t>HUOM! Siniviherkertoimen laskelma ei korvaa hulevesiasiantuntijan tekemää hulevesisuunnitelmaa.</t>
  </si>
  <si>
    <r>
      <t>Total weighted area, m</t>
    </r>
    <r>
      <rPr>
        <b/>
        <vertAlign val="superscript"/>
        <sz val="12"/>
        <rFont val="Calibri"/>
        <family val="2"/>
      </rPr>
      <t>2</t>
    </r>
    <r>
      <rPr>
        <b/>
        <sz val="12"/>
        <rFont val="Calibri"/>
        <family val="2"/>
      </rPr>
      <t xml:space="preserve"> </t>
    </r>
  </si>
  <si>
    <r>
      <t>Elements weighted area, 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ELI kaikkien kappalemääräisten viherelementtien sekä viherseinän "weighted area", sarake 12</t>
    </r>
  </si>
  <si>
    <t>Läpäisevä pinta-ala tontilla</t>
  </si>
  <si>
    <t>Läpäisevän pinnan minimiosuus</t>
  </si>
  <si>
    <t>Rajauskentät ”Vaadittu huleveden viivytys”, "Vaadittu läpäisevä pinta-ala" ja "Viherkertoimen tavoitetaso" täytetään, jos ne on asemakaavassa tai rakennusjärjestyksessä määritelty. Lisätiedot ja päätösviitteet www.turku.fi/siniviherkerroin.</t>
  </si>
  <si>
    <t>Lampi tai vesiaihe (ainakin osan vuodesta pysyvä vesipinta)</t>
  </si>
  <si>
    <t>Bonuselementit</t>
  </si>
  <si>
    <r>
      <t>Kasvillisuuden pidätyspotentiaali, m</t>
    </r>
    <r>
      <rPr>
        <vertAlign val="superscript"/>
        <sz val="11"/>
        <color theme="0"/>
        <rFont val="Calibri"/>
        <family val="2"/>
      </rPr>
      <t>3</t>
    </r>
  </si>
  <si>
    <r>
      <t>Esitetty viivytystilavuus, m</t>
    </r>
    <r>
      <rPr>
        <vertAlign val="superscript"/>
        <sz val="11"/>
        <color theme="0"/>
        <rFont val="Calibri"/>
        <family val="2"/>
      </rPr>
      <t>3</t>
    </r>
  </si>
  <si>
    <r>
      <t>Jäljellä oleva viivytystarve, m</t>
    </r>
    <r>
      <rPr>
        <vertAlign val="superscript"/>
        <sz val="11"/>
        <color theme="0"/>
        <rFont val="Calibri"/>
        <family val="2"/>
      </rPr>
      <t>3</t>
    </r>
  </si>
  <si>
    <t>Tämän työkalun tuottamiseen on saatu rahoitusta Euroopan unionin LIFE-ohjelmasta. Työkalun sisältö edustaa ainoastaan Canemure-hankkeen näkemyksiä ja EASME/komissio ei ole vastuussa sivun sisältämän informaation mahdollisesta käytöstä.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</si>
</sst>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"/>
    <numFmt numFmtId="166" formatCode="0.00000"/>
    <numFmt numFmtId="167" formatCode="0.000"/>
    <numFmt numFmtId="168" formatCode="#,###\&amp;&quot;m2&quot;"/>
    <numFmt numFmtId="169" formatCode="&quot; m²&quot;"/>
    <numFmt numFmtId="170" formatCode="#,##0.00&quot; m²&quot;"/>
    <numFmt numFmtId="171" formatCode="#,###&quot;m2&quot;"/>
  </numFmts>
  <fonts count="66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b/>
      <vertAlign val="superscript"/>
      <sz val="14"/>
      <color indexed="8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b/>
      <sz val="12"/>
      <name val="Calibri"/>
      <family val="2"/>
    </font>
    <font>
      <vertAlign val="superscript"/>
      <sz val="14"/>
      <color indexed="8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FF0000"/>
      <name val="Calibri"/>
      <family val="2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rgb="FFC00000"/>
      <name val="Calibri"/>
      <family val="2"/>
    </font>
    <font>
      <b/>
      <sz val="16"/>
      <color theme="1"/>
      <name val="Calibri"/>
      <family val="2"/>
    </font>
    <font>
      <sz val="12"/>
      <color rgb="FF0070C0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0"/>
      <name val="Calibri"/>
      <family val="2"/>
    </font>
    <font>
      <sz val="12"/>
      <color theme="0"/>
      <name val="Calibri"/>
      <family val="2"/>
      <scheme val="minor"/>
    </font>
    <font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4"/>
      <color theme="1"/>
      <name val="Calibri"/>
      <family val="2"/>
    </font>
    <font>
      <b/>
      <sz val="16"/>
      <name val="Calibri"/>
      <family val="2"/>
      <scheme val="minor"/>
    </font>
    <font>
      <b/>
      <vertAlign val="superscript"/>
      <sz val="12"/>
      <color theme="0"/>
      <name val="Calibri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2"/>
      <name val="Calibri"/>
      <family val="2"/>
    </font>
    <font>
      <b/>
      <sz val="18"/>
      <color rgb="FFFF0000"/>
      <name val="Calibri"/>
      <family val="2"/>
      <scheme val="minor"/>
    </font>
    <font>
      <vertAlign val="superscript"/>
      <sz val="11"/>
      <color theme="0"/>
      <name val="Calibri"/>
      <family val="2"/>
    </font>
    <font>
      <sz val="7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CF5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0C2A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E6E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</cellStyleXfs>
  <cellXfs count="357">
    <xf numFmtId="0" fontId="0" fillId="0" borderId="0" xfId="0"/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14" fontId="19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hidden="1"/>
    </xf>
    <xf numFmtId="0" fontId="0" fillId="2" borderId="0" xfId="0" applyNumberFormat="1" applyFill="1" applyBorder="1" applyProtection="1">
      <protection hidden="1"/>
    </xf>
    <xf numFmtId="0" fontId="0" fillId="2" borderId="0" xfId="0" applyFill="1" applyProtection="1">
      <protection hidden="1"/>
    </xf>
    <xf numFmtId="0" fontId="16" fillId="2" borderId="0" xfId="0" applyFont="1" applyFill="1" applyBorder="1" applyProtection="1">
      <protection hidden="1"/>
    </xf>
    <xf numFmtId="14" fontId="20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NumberFormat="1" applyFill="1" applyProtection="1">
      <protection hidden="1"/>
    </xf>
    <xf numFmtId="0" fontId="21" fillId="2" borderId="0" xfId="0" applyFont="1" applyFill="1" applyBorder="1" applyProtection="1">
      <protection hidden="1"/>
    </xf>
    <xf numFmtId="0" fontId="22" fillId="2" borderId="0" xfId="0" applyFont="1" applyFill="1" applyBorder="1" applyAlignment="1" applyProtection="1">
      <alignment vertical="top"/>
      <protection hidden="1"/>
    </xf>
    <xf numFmtId="0" fontId="23" fillId="2" borderId="0" xfId="0" applyFont="1" applyFill="1" applyBorder="1" applyProtection="1">
      <protection hidden="1"/>
    </xf>
    <xf numFmtId="0" fontId="0" fillId="2" borderId="0" xfId="0" applyFont="1" applyFill="1" applyProtection="1">
      <protection hidden="1"/>
    </xf>
    <xf numFmtId="0" fontId="0" fillId="2" borderId="0" xfId="0" applyNumberFormat="1" applyFont="1" applyFill="1" applyProtection="1">
      <protection hidden="1"/>
    </xf>
    <xf numFmtId="0" fontId="24" fillId="2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6" fillId="2" borderId="0" xfId="0" applyFont="1" applyFill="1" applyAlignment="1" applyProtection="1">
      <alignment horizontal="left"/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2" fillId="4" borderId="6" xfId="0" applyFont="1" applyFill="1" applyBorder="1" applyAlignment="1" applyProtection="1">
      <alignment vertical="top" wrapText="1"/>
      <protection hidden="1"/>
    </xf>
    <xf numFmtId="0" fontId="2" fillId="4" borderId="7" xfId="0" applyFont="1" applyFill="1" applyBorder="1" applyAlignment="1" applyProtection="1">
      <alignment vertical="top" wrapText="1"/>
      <protection hidden="1"/>
    </xf>
    <xf numFmtId="0" fontId="2" fillId="4" borderId="8" xfId="0" applyFont="1" applyFill="1" applyBorder="1" applyAlignment="1" applyProtection="1">
      <alignment vertical="top" wrapText="1"/>
      <protection hidden="1"/>
    </xf>
    <xf numFmtId="0" fontId="28" fillId="4" borderId="8" xfId="0" applyFont="1" applyFill="1" applyBorder="1" applyAlignment="1" applyProtection="1">
      <alignment vertical="top" wrapText="1"/>
      <protection hidden="1"/>
    </xf>
    <xf numFmtId="0" fontId="2" fillId="4" borderId="9" xfId="0" applyFont="1" applyFill="1" applyBorder="1" applyAlignment="1" applyProtection="1">
      <alignment vertical="top" wrapText="1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0" fontId="19" fillId="5" borderId="2" xfId="0" applyFont="1" applyFill="1" applyBorder="1" applyAlignment="1" applyProtection="1">
      <alignment horizontal="center" vertical="center" wrapText="1"/>
      <protection hidden="1"/>
    </xf>
    <xf numFmtId="0" fontId="19" fillId="5" borderId="3" xfId="0" applyFont="1" applyFill="1" applyBorder="1" applyAlignment="1" applyProtection="1">
      <alignment horizontal="center" vertical="center" wrapText="1"/>
      <protection hidden="1"/>
    </xf>
    <xf numFmtId="0" fontId="29" fillId="6" borderId="0" xfId="0" applyFont="1" applyFill="1" applyBorder="1" applyAlignment="1" applyProtection="1">
      <alignment horizontal="center" vertical="center" wrapText="1"/>
      <protection hidden="1"/>
    </xf>
    <xf numFmtId="166" fontId="30" fillId="7" borderId="0" xfId="0" applyNumberFormat="1" applyFont="1" applyFill="1" applyBorder="1" applyAlignment="1" applyProtection="1">
      <alignment horizontal="center" vertical="center" wrapText="1"/>
      <protection hidden="1"/>
    </xf>
    <xf numFmtId="0" fontId="29" fillId="7" borderId="0" xfId="0" applyFont="1" applyFill="1" applyBorder="1" applyAlignment="1" applyProtection="1">
      <alignment horizontal="center" vertical="center" wrapText="1"/>
      <protection hidden="1"/>
    </xf>
    <xf numFmtId="2" fontId="29" fillId="7" borderId="0" xfId="0" applyNumberFormat="1" applyFont="1" applyFill="1" applyBorder="1" applyAlignment="1" applyProtection="1">
      <alignment horizontal="center" vertical="center" wrapText="1"/>
      <protection hidden="1"/>
    </xf>
    <xf numFmtId="165" fontId="18" fillId="5" borderId="1" xfId="0" applyNumberFormat="1" applyFont="1" applyFill="1" applyBorder="1" applyAlignment="1" applyProtection="1">
      <alignment horizontal="center" vertical="center"/>
      <protection hidden="1"/>
    </xf>
    <xf numFmtId="165" fontId="18" fillId="5" borderId="10" xfId="0" applyNumberFormat="1" applyFont="1" applyFill="1" applyBorder="1" applyAlignment="1" applyProtection="1">
      <alignment horizontal="center" vertical="center"/>
      <protection hidden="1"/>
    </xf>
    <xf numFmtId="165" fontId="18" fillId="2" borderId="10" xfId="0" applyNumberFormat="1" applyFont="1" applyFill="1" applyBorder="1" applyAlignment="1" applyProtection="1">
      <alignment horizontal="center" vertical="center" wrapText="1"/>
      <protection hidden="1"/>
    </xf>
    <xf numFmtId="166" fontId="18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19" fillId="8" borderId="1" xfId="0" applyFont="1" applyFill="1" applyBorder="1" applyAlignment="1" applyProtection="1">
      <alignment horizontal="center" vertical="center" wrapText="1"/>
      <protection hidden="1"/>
    </xf>
    <xf numFmtId="2" fontId="18" fillId="2" borderId="11" xfId="0" applyNumberFormat="1" applyFont="1" applyFill="1" applyBorder="1" applyAlignment="1" applyProtection="1">
      <alignment horizontal="center" vertical="center" wrapText="1"/>
      <protection hidden="1"/>
    </xf>
    <xf numFmtId="165" fontId="18" fillId="5" borderId="2" xfId="0" applyNumberFormat="1" applyFont="1" applyFill="1" applyBorder="1" applyAlignment="1" applyProtection="1">
      <alignment horizontal="center" vertical="center"/>
      <protection hidden="1"/>
    </xf>
    <xf numFmtId="165" fontId="18" fillId="5" borderId="4" xfId="0" applyNumberFormat="1" applyFont="1" applyFill="1" applyBorder="1" applyAlignment="1" applyProtection="1">
      <alignment horizontal="center" vertical="center"/>
      <protection hidden="1"/>
    </xf>
    <xf numFmtId="165" fontId="18" fillId="2" borderId="4" xfId="0" applyNumberFormat="1" applyFont="1" applyFill="1" applyBorder="1" applyAlignment="1" applyProtection="1">
      <alignment horizontal="center" vertical="center" wrapText="1"/>
      <protection hidden="1"/>
    </xf>
    <xf numFmtId="166" fontId="18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8" borderId="2" xfId="0" applyFont="1" applyFill="1" applyBorder="1" applyAlignment="1" applyProtection="1">
      <alignment horizontal="center" vertical="center" wrapText="1"/>
      <protection hidden="1"/>
    </xf>
    <xf numFmtId="2" fontId="18" fillId="2" borderId="12" xfId="0" applyNumberFormat="1" applyFont="1" applyFill="1" applyBorder="1" applyAlignment="1" applyProtection="1">
      <alignment horizontal="center" vertical="center" wrapText="1"/>
      <protection hidden="1"/>
    </xf>
    <xf numFmtId="165" fontId="18" fillId="5" borderId="3" xfId="0" applyNumberFormat="1" applyFont="1" applyFill="1" applyBorder="1" applyAlignment="1" applyProtection="1">
      <alignment horizontal="center" vertical="center"/>
      <protection hidden="1"/>
    </xf>
    <xf numFmtId="165" fontId="18" fillId="5" borderId="13" xfId="0" applyNumberFormat="1" applyFont="1" applyFill="1" applyBorder="1" applyAlignment="1" applyProtection="1">
      <alignment horizontal="center" vertical="center"/>
      <protection hidden="1"/>
    </xf>
    <xf numFmtId="165" fontId="18" fillId="2" borderId="13" xfId="0" applyNumberFormat="1" applyFont="1" applyFill="1" applyBorder="1" applyAlignment="1" applyProtection="1">
      <alignment horizontal="center" vertical="center" wrapText="1"/>
      <protection hidden="1"/>
    </xf>
    <xf numFmtId="166" fontId="18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19" fillId="8" borderId="3" xfId="0" applyFont="1" applyFill="1" applyBorder="1" applyAlignment="1" applyProtection="1">
      <alignment horizontal="center" vertical="center" wrapText="1"/>
      <protection hidden="1"/>
    </xf>
    <xf numFmtId="2" fontId="18" fillId="2" borderId="14" xfId="0" applyNumberFormat="1" applyFont="1" applyFill="1" applyBorder="1" applyAlignment="1" applyProtection="1">
      <alignment horizontal="center" vertical="center" wrapText="1"/>
      <protection hidden="1"/>
    </xf>
    <xf numFmtId="165" fontId="18" fillId="5" borderId="15" xfId="0" applyNumberFormat="1" applyFont="1" applyFill="1" applyBorder="1" applyAlignment="1" applyProtection="1">
      <alignment horizontal="center" vertical="center"/>
      <protection hidden="1"/>
    </xf>
    <xf numFmtId="165" fontId="18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8" fillId="5" borderId="0" xfId="0" applyNumberFormat="1" applyFont="1" applyFill="1" applyBorder="1" applyAlignment="1" applyProtection="1">
      <alignment horizontal="center" vertical="center"/>
      <protection hidden="1"/>
    </xf>
    <xf numFmtId="165" fontId="18" fillId="2" borderId="2" xfId="0" applyNumberFormat="1" applyFont="1" applyFill="1" applyBorder="1" applyAlignment="1" applyProtection="1">
      <alignment horizontal="center" vertical="center" wrapText="1"/>
      <protection hidden="1"/>
    </xf>
    <xf numFmtId="165" fontId="18" fillId="2" borderId="3" xfId="0" applyNumberFormat="1" applyFont="1" applyFill="1" applyBorder="1" applyAlignment="1" applyProtection="1">
      <alignment horizontal="center" vertical="center" wrapText="1"/>
      <protection hidden="1"/>
    </xf>
    <xf numFmtId="166" fontId="18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19" fillId="8" borderId="17" xfId="0" applyFont="1" applyFill="1" applyBorder="1" applyAlignment="1" applyProtection="1">
      <alignment horizontal="center" vertical="center" wrapText="1"/>
      <protection hidden="1"/>
    </xf>
    <xf numFmtId="2" fontId="18" fillId="2" borderId="18" xfId="0" applyNumberFormat="1" applyFont="1" applyFill="1" applyBorder="1" applyAlignment="1" applyProtection="1">
      <alignment horizontal="center" vertical="center" wrapText="1"/>
      <protection hidden="1"/>
    </xf>
    <xf numFmtId="165" fontId="18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20" fillId="2" borderId="0" xfId="0" applyFont="1" applyFill="1" applyProtection="1">
      <protection hidden="1"/>
    </xf>
    <xf numFmtId="0" fontId="20" fillId="2" borderId="0" xfId="0" applyNumberFormat="1" applyFont="1" applyFill="1" applyProtection="1">
      <protection hidden="1"/>
    </xf>
    <xf numFmtId="0" fontId="20" fillId="2" borderId="0" xfId="0" applyNumberFormat="1" applyFont="1" applyFill="1" applyBorder="1" applyProtection="1">
      <protection hidden="1"/>
    </xf>
    <xf numFmtId="0" fontId="30" fillId="2" borderId="0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 vertical="center"/>
      <protection hidden="1"/>
    </xf>
    <xf numFmtId="0" fontId="32" fillId="2" borderId="0" xfId="0" applyFont="1" applyFill="1" applyBorder="1" applyAlignment="1" applyProtection="1">
      <alignment vertical="center" textRotation="90" wrapTex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3" fillId="2" borderId="0" xfId="0" applyFont="1" applyFill="1" applyBorder="1" applyAlignment="1" applyProtection="1">
      <alignment horizontal="center"/>
      <protection hidden="1"/>
    </xf>
    <xf numFmtId="0" fontId="28" fillId="2" borderId="0" xfId="0" applyFont="1" applyFill="1" applyBorder="1" applyProtection="1">
      <protection hidden="1"/>
    </xf>
    <xf numFmtId="0" fontId="32" fillId="2" borderId="0" xfId="0" applyFont="1" applyFill="1" applyBorder="1" applyProtection="1">
      <protection hidden="1"/>
    </xf>
    <xf numFmtId="0" fontId="31" fillId="0" borderId="0" xfId="0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Border="1" applyAlignment="1" applyProtection="1">
      <alignment horizontal="left" vertical="center" wrapText="1"/>
      <protection hidden="1"/>
    </xf>
    <xf numFmtId="165" fontId="31" fillId="2" borderId="0" xfId="0" applyNumberFormat="1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Border="1" applyAlignment="1" applyProtection="1">
      <alignment horizontal="left" vertical="center"/>
      <protection hidden="1"/>
    </xf>
    <xf numFmtId="0" fontId="33" fillId="2" borderId="0" xfId="0" applyFont="1" applyFill="1" applyBorder="1" applyProtection="1">
      <protection hidden="1"/>
    </xf>
    <xf numFmtId="0" fontId="20" fillId="2" borderId="0" xfId="0" applyNumberFormat="1" applyFont="1" applyFill="1" applyAlignment="1" applyProtection="1">
      <alignment horizontal="center"/>
      <protection hidden="1"/>
    </xf>
    <xf numFmtId="0" fontId="17" fillId="2" borderId="0" xfId="0" applyFont="1" applyFill="1" applyProtection="1">
      <protection hidden="1"/>
    </xf>
    <xf numFmtId="0" fontId="29" fillId="9" borderId="0" xfId="0" applyFont="1" applyFill="1" applyBorder="1" applyAlignment="1" applyProtection="1">
      <alignment horizontal="center" vertical="center" wrapText="1"/>
      <protection hidden="1"/>
    </xf>
    <xf numFmtId="0" fontId="29" fillId="3" borderId="0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3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2" fillId="4" borderId="8" xfId="0" applyFont="1" applyFill="1" applyBorder="1" applyAlignment="1" applyProtection="1">
      <alignment horizontal="left" vertical="top" wrapText="1"/>
      <protection hidden="1"/>
    </xf>
    <xf numFmtId="0" fontId="20" fillId="3" borderId="19" xfId="0" applyNumberFormat="1" applyFont="1" applyFill="1" applyBorder="1" applyAlignment="1" applyProtection="1">
      <alignment horizontal="right" vertical="center"/>
      <protection hidden="1"/>
    </xf>
    <xf numFmtId="0" fontId="28" fillId="4" borderId="9" xfId="0" applyFont="1" applyFill="1" applyBorder="1" applyAlignment="1" applyProtection="1">
      <alignment vertical="top" wrapText="1"/>
      <protection hidden="1"/>
    </xf>
    <xf numFmtId="0" fontId="8" fillId="8" borderId="12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Border="1" applyProtection="1">
      <protection hidden="1"/>
    </xf>
    <xf numFmtId="0" fontId="34" fillId="2" borderId="0" xfId="0" applyFont="1" applyFill="1" applyProtection="1">
      <protection hidden="1"/>
    </xf>
    <xf numFmtId="0" fontId="34" fillId="2" borderId="0" xfId="0" applyFont="1" applyFill="1" applyBorder="1" applyProtection="1">
      <protection hidden="1"/>
    </xf>
    <xf numFmtId="0" fontId="34" fillId="2" borderId="0" xfId="0" applyFont="1" applyFill="1" applyAlignment="1" applyProtection="1">
      <protection hidden="1"/>
    </xf>
    <xf numFmtId="0" fontId="19" fillId="2" borderId="21" xfId="0" applyNumberFormat="1" applyFont="1" applyFill="1" applyBorder="1" applyAlignment="1" applyProtection="1">
      <alignment horizontal="center" vertical="center"/>
      <protection locked="0"/>
    </xf>
    <xf numFmtId="0" fontId="19" fillId="0" borderId="22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Protection="1">
      <protection hidden="1"/>
    </xf>
    <xf numFmtId="0" fontId="35" fillId="2" borderId="0" xfId="0" applyFont="1" applyFill="1" applyBorder="1" applyAlignment="1" applyProtection="1">
      <protection hidden="1"/>
    </xf>
    <xf numFmtId="0" fontId="36" fillId="2" borderId="0" xfId="0" applyFont="1" applyFill="1" applyBorder="1" applyAlignment="1" applyProtection="1">
      <protection hidden="1"/>
    </xf>
    <xf numFmtId="0" fontId="0" fillId="2" borderId="0" xfId="0" applyFill="1" applyBorder="1" applyAlignment="1" applyProtection="1">
      <protection hidden="1"/>
    </xf>
    <xf numFmtId="0" fontId="29" fillId="2" borderId="0" xfId="0" applyFont="1" applyFill="1" applyBorder="1" applyAlignment="1" applyProtection="1">
      <protection hidden="1"/>
    </xf>
    <xf numFmtId="0" fontId="10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Alignment="1" applyProtection="1">
      <protection hidden="1"/>
    </xf>
    <xf numFmtId="0" fontId="0" fillId="2" borderId="0" xfId="0" applyFont="1" applyFill="1" applyAlignment="1" applyProtection="1">
      <protection hidden="1"/>
    </xf>
    <xf numFmtId="0" fontId="25" fillId="2" borderId="0" xfId="0" applyNumberFormat="1" applyFont="1" applyFill="1" applyBorder="1" applyAlignment="1" applyProtection="1">
      <alignment horizontal="left"/>
      <protection hidden="1"/>
    </xf>
    <xf numFmtId="0" fontId="37" fillId="2" borderId="0" xfId="0" applyNumberFormat="1" applyFont="1" applyFill="1" applyBorder="1" applyAlignment="1" applyProtection="1">
      <alignment horizontal="left"/>
      <protection hidden="1"/>
    </xf>
    <xf numFmtId="49" fontId="19" fillId="2" borderId="21" xfId="0" applyNumberFormat="1" applyFont="1" applyFill="1" applyBorder="1" applyAlignment="1" applyProtection="1">
      <alignment horizontal="center"/>
      <protection locked="0"/>
    </xf>
    <xf numFmtId="165" fontId="18" fillId="8" borderId="1" xfId="0" applyNumberFormat="1" applyFont="1" applyFill="1" applyBorder="1" applyAlignment="1" applyProtection="1">
      <alignment horizontal="center" vertical="center"/>
      <protection hidden="1"/>
    </xf>
    <xf numFmtId="165" fontId="18" fillId="8" borderId="0" xfId="0" applyNumberFormat="1" applyFont="1" applyFill="1" applyBorder="1" applyAlignment="1" applyProtection="1">
      <alignment horizontal="center" vertical="center"/>
      <protection hidden="1"/>
    </xf>
    <xf numFmtId="165" fontId="18" fillId="8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9" fontId="19" fillId="2" borderId="24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34" fillId="2" borderId="0" xfId="0" applyNumberFormat="1" applyFont="1" applyFill="1" applyBorder="1" applyProtection="1">
      <protection hidden="1"/>
    </xf>
    <xf numFmtId="2" fontId="37" fillId="2" borderId="0" xfId="0" applyNumberFormat="1" applyFont="1" applyFill="1" applyBorder="1" applyAlignment="1" applyProtection="1">
      <alignment horizontal="center" vertical="center" wrapText="1"/>
      <protection hidden="1"/>
    </xf>
    <xf numFmtId="167" fontId="25" fillId="2" borderId="0" xfId="0" applyNumberFormat="1" applyFont="1" applyFill="1" applyBorder="1" applyAlignment="1" applyProtection="1">
      <alignment horizontal="center" vertical="center" wrapText="1"/>
      <protection hidden="1"/>
    </xf>
    <xf numFmtId="2" fontId="2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38" fillId="2" borderId="12" xfId="0" applyFont="1" applyFill="1" applyBorder="1" applyAlignment="1" applyProtection="1">
      <alignment vertical="center" wrapText="1"/>
      <protection hidden="1"/>
    </xf>
    <xf numFmtId="0" fontId="18" fillId="2" borderId="0" xfId="0" applyNumberFormat="1" applyFont="1" applyFill="1" applyBorder="1" applyAlignment="1" applyProtection="1">
      <protection hidden="1"/>
    </xf>
    <xf numFmtId="0" fontId="37" fillId="2" borderId="0" xfId="0" applyNumberFormat="1" applyFont="1" applyFill="1" applyBorder="1" applyAlignment="1" applyProtection="1">
      <alignment horizontal="right"/>
      <protection hidden="1"/>
    </xf>
    <xf numFmtId="49" fontId="0" fillId="2" borderId="0" xfId="0" applyNumberFormat="1" applyFill="1" applyProtection="1">
      <protection hidden="1"/>
    </xf>
    <xf numFmtId="0" fontId="16" fillId="2" borderId="0" xfId="0" applyFont="1" applyFill="1" applyBorder="1" applyAlignment="1" applyProtection="1">
      <alignment horizontal="right"/>
      <protection hidden="1"/>
    </xf>
    <xf numFmtId="49" fontId="0" fillId="2" borderId="0" xfId="0" applyNumberFormat="1" applyFill="1" applyBorder="1" applyProtection="1">
      <protection hidden="1"/>
    </xf>
    <xf numFmtId="0" fontId="8" fillId="3" borderId="8" xfId="0" applyNumberFormat="1" applyFont="1" applyFill="1" applyBorder="1" applyAlignment="1" applyProtection="1">
      <alignment horizontal="center" vertical="center"/>
      <protection hidden="1"/>
    </xf>
    <xf numFmtId="0" fontId="8" fillId="3" borderId="5" xfId="0" applyNumberFormat="1" applyFont="1" applyFill="1" applyBorder="1" applyAlignment="1" applyProtection="1">
      <alignment horizontal="center" vertical="center"/>
      <protection hidden="1"/>
    </xf>
    <xf numFmtId="0" fontId="8" fillId="3" borderId="19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0" fontId="37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39" fillId="2" borderId="0" xfId="0" applyFont="1" applyFill="1" applyBorder="1" applyAlignment="1" applyProtection="1">
      <alignment horizontal="left"/>
      <protection hidden="1"/>
    </xf>
    <xf numFmtId="0" fontId="10" fillId="2" borderId="0" xfId="0" applyFont="1" applyFill="1" applyBorder="1" applyAlignment="1" applyProtection="1">
      <alignment wrapText="1"/>
      <protection hidden="1"/>
    </xf>
    <xf numFmtId="0" fontId="14" fillId="2" borderId="0" xfId="0" applyFont="1" applyFill="1" applyProtection="1">
      <protection hidden="1"/>
    </xf>
    <xf numFmtId="0" fontId="0" fillId="2" borderId="0" xfId="0" applyFill="1" applyBorder="1" applyAlignment="1" applyProtection="1">
      <alignment vertical="top" wrapText="1"/>
      <protection hidden="1"/>
    </xf>
    <xf numFmtId="0" fontId="18" fillId="2" borderId="0" xfId="0" applyNumberFormat="1" applyFont="1" applyFill="1" applyBorder="1" applyAlignment="1" applyProtection="1">
      <alignment vertical="top" wrapText="1"/>
      <protection hidden="1"/>
    </xf>
    <xf numFmtId="0" fontId="20" fillId="2" borderId="0" xfId="0" applyNumberFormat="1" applyFont="1" applyFill="1" applyBorder="1" applyAlignment="1" applyProtection="1">
      <alignment vertical="top" wrapText="1"/>
      <protection hidden="1"/>
    </xf>
    <xf numFmtId="0" fontId="40" fillId="2" borderId="0" xfId="0" applyNumberFormat="1" applyFont="1" applyFill="1" applyBorder="1" applyAlignment="1" applyProtection="1">
      <alignment horizontal="left" vertical="top" wrapText="1"/>
      <protection hidden="1"/>
    </xf>
    <xf numFmtId="0" fontId="32" fillId="2" borderId="0" xfId="0" applyNumberFormat="1" applyFont="1" applyFill="1" applyBorder="1" applyAlignment="1" applyProtection="1">
      <alignment horizontal="left" vertical="center"/>
      <protection hidden="1"/>
    </xf>
    <xf numFmtId="0" fontId="30" fillId="2" borderId="0" xfId="0" applyNumberFormat="1" applyFont="1" applyFill="1" applyBorder="1" applyProtection="1">
      <protection hidden="1"/>
    </xf>
    <xf numFmtId="0" fontId="32" fillId="2" borderId="0" xfId="0" applyNumberFormat="1" applyFont="1" applyFill="1" applyBorder="1" applyProtection="1">
      <protection hidden="1"/>
    </xf>
    <xf numFmtId="0" fontId="28" fillId="2" borderId="0" xfId="0" applyNumberFormat="1" applyFont="1" applyFill="1" applyBorder="1" applyAlignment="1" applyProtection="1">
      <alignment horizontal="center"/>
      <protection hidden="1"/>
    </xf>
    <xf numFmtId="0" fontId="33" fillId="2" borderId="0" xfId="0" applyNumberFormat="1" applyFont="1" applyFill="1" applyBorder="1" applyAlignment="1" applyProtection="1">
      <alignment horizontal="left"/>
      <protection hidden="1"/>
    </xf>
    <xf numFmtId="0" fontId="33" fillId="2" borderId="0" xfId="0" applyNumberFormat="1" applyFont="1" applyFill="1" applyBorder="1" applyAlignment="1" applyProtection="1">
      <alignment horizontal="center"/>
      <protection hidden="1"/>
    </xf>
    <xf numFmtId="9" fontId="19" fillId="2" borderId="0" xfId="0" applyNumberFormat="1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33" fillId="2" borderId="0" xfId="0" applyFont="1" applyFill="1" applyAlignment="1" applyProtection="1">
      <alignment horizontal="left"/>
      <protection hidden="1"/>
    </xf>
    <xf numFmtId="0" fontId="32" fillId="2" borderId="0" xfId="0" applyFont="1" applyFill="1" applyProtection="1">
      <protection hidden="1"/>
    </xf>
    <xf numFmtId="0" fontId="19" fillId="2" borderId="26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/>
      <protection hidden="1"/>
    </xf>
    <xf numFmtId="0" fontId="41" fillId="2" borderId="0" xfId="0" applyFont="1" applyFill="1" applyBorder="1" applyAlignment="1" applyProtection="1">
      <alignment horizontal="center" vertical="center"/>
      <protection hidden="1"/>
    </xf>
    <xf numFmtId="165" fontId="42" fillId="2" borderId="0" xfId="0" applyNumberFormat="1" applyFont="1" applyFill="1" applyBorder="1" applyAlignment="1" applyProtection="1">
      <alignment horizontal="center" vertical="center"/>
      <protection hidden="1"/>
    </xf>
    <xf numFmtId="165" fontId="42" fillId="0" borderId="0" xfId="0" applyNumberFormat="1" applyFont="1" applyFill="1" applyBorder="1" applyAlignment="1" applyProtection="1">
      <alignment horizontal="center" vertical="center"/>
      <protection hidden="1"/>
    </xf>
    <xf numFmtId="0" fontId="43" fillId="2" borderId="0" xfId="0" applyFon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44" fillId="2" borderId="0" xfId="0" applyFont="1" applyFill="1" applyAlignment="1" applyProtection="1">
      <alignment horizontal="right"/>
      <protection hidden="1"/>
    </xf>
    <xf numFmtId="0" fontId="44" fillId="2" borderId="0" xfId="0" applyFont="1" applyFill="1" applyProtection="1">
      <protection hidden="1"/>
    </xf>
    <xf numFmtId="49" fontId="18" fillId="2" borderId="0" xfId="0" applyNumberFormat="1" applyFont="1" applyFill="1" applyBorder="1" applyAlignment="1" applyProtection="1">
      <alignment horizontal="left"/>
      <protection hidden="1"/>
    </xf>
    <xf numFmtId="0" fontId="18" fillId="2" borderId="0" xfId="0" applyNumberFormat="1" applyFont="1" applyFill="1" applyBorder="1" applyProtection="1">
      <protection hidden="1"/>
    </xf>
    <xf numFmtId="0" fontId="12" fillId="2" borderId="0" xfId="0" applyFont="1" applyFill="1" applyBorder="1" applyAlignment="1" applyProtection="1">
      <alignment horizontal="left"/>
      <protection hidden="1"/>
    </xf>
    <xf numFmtId="0" fontId="45" fillId="2" borderId="0" xfId="0" applyFont="1" applyFill="1" applyBorder="1" applyAlignment="1" applyProtection="1">
      <alignment vertical="top"/>
      <protection hidden="1"/>
    </xf>
    <xf numFmtId="0" fontId="14" fillId="2" borderId="0" xfId="0" applyFont="1" applyFill="1" applyBorder="1" applyProtection="1">
      <protection hidden="1"/>
    </xf>
    <xf numFmtId="0" fontId="14" fillId="2" borderId="0" xfId="0" applyNumberFormat="1" applyFont="1" applyFill="1" applyBorder="1" applyProtection="1">
      <protection hidden="1"/>
    </xf>
    <xf numFmtId="1" fontId="47" fillId="2" borderId="0" xfId="0" applyNumberFormat="1" applyFont="1" applyFill="1" applyBorder="1" applyAlignment="1" applyProtection="1">
      <alignment horizontal="center"/>
      <protection hidden="1"/>
    </xf>
    <xf numFmtId="0" fontId="48" fillId="2" borderId="0" xfId="0" applyFont="1" applyFill="1" applyBorder="1" applyProtection="1">
      <protection hidden="1"/>
    </xf>
    <xf numFmtId="168" fontId="14" fillId="2" borderId="0" xfId="0" applyNumberFormat="1" applyFont="1" applyFill="1" applyProtection="1">
      <protection hidden="1"/>
    </xf>
    <xf numFmtId="0" fontId="48" fillId="2" borderId="0" xfId="0" applyFont="1" applyFill="1" applyProtection="1">
      <protection hidden="1"/>
    </xf>
    <xf numFmtId="0" fontId="51" fillId="2" borderId="0" xfId="0" applyFont="1" applyFill="1" applyBorder="1" applyAlignment="1" applyProtection="1">
      <alignment horizontal="center" vertical="center" wrapText="1"/>
      <protection hidden="1"/>
    </xf>
    <xf numFmtId="9" fontId="52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2" borderId="0" xfId="0" applyFont="1" applyFill="1" applyBorder="1" applyAlignment="1" applyProtection="1">
      <alignment horizontal="center" vertical="center" wrapText="1"/>
      <protection hidden="1"/>
    </xf>
    <xf numFmtId="1" fontId="52" fillId="2" borderId="0" xfId="0" applyNumberFormat="1" applyFont="1" applyFill="1" applyBorder="1" applyAlignment="1" applyProtection="1">
      <alignment horizontal="center"/>
      <protection hidden="1"/>
    </xf>
    <xf numFmtId="0" fontId="31" fillId="2" borderId="0" xfId="0" applyNumberFormat="1" applyFont="1" applyFill="1" applyBorder="1" applyAlignment="1" applyProtection="1">
      <alignment horizontal="center" vertical="top" wrapText="1"/>
      <protection hidden="1"/>
    </xf>
    <xf numFmtId="0" fontId="51" fillId="2" borderId="0" xfId="0" applyFont="1" applyFill="1" applyProtection="1">
      <protection hidden="1"/>
    </xf>
    <xf numFmtId="0" fontId="51" fillId="0" borderId="0" xfId="0" applyFont="1" applyAlignment="1" applyProtection="1">
      <alignment horizontal="center" vertical="center" readingOrder="1"/>
      <protection hidden="1"/>
    </xf>
    <xf numFmtId="1" fontId="14" fillId="2" borderId="0" xfId="0" applyNumberFormat="1" applyFont="1" applyFill="1" applyProtection="1">
      <protection hidden="1"/>
    </xf>
    <xf numFmtId="2" fontId="14" fillId="2" borderId="0" xfId="0" applyNumberFormat="1" applyFont="1" applyFill="1" applyProtection="1">
      <protection hidden="1"/>
    </xf>
    <xf numFmtId="0" fontId="19" fillId="2" borderId="0" xfId="0" applyNumberFormat="1" applyFont="1" applyFill="1" applyBorder="1" applyAlignment="1" applyProtection="1">
      <alignment horizontal="center" vertical="center"/>
      <protection hidden="1"/>
    </xf>
    <xf numFmtId="2" fontId="19" fillId="2" borderId="0" xfId="0" applyNumberFormat="1" applyFont="1" applyFill="1" applyBorder="1" applyAlignment="1" applyProtection="1">
      <alignment horizontal="center" vertical="center"/>
      <protection hidden="1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14" fontId="19" fillId="2" borderId="0" xfId="0" applyNumberFormat="1" applyFont="1" applyFill="1" applyBorder="1" applyAlignment="1" applyProtection="1">
      <alignment horizontal="left"/>
      <protection hidden="1"/>
    </xf>
    <xf numFmtId="0" fontId="37" fillId="2" borderId="0" xfId="0" applyFont="1" applyFill="1" applyBorder="1" applyAlignment="1" applyProtection="1">
      <alignment horizontal="right"/>
      <protection hidden="1"/>
    </xf>
    <xf numFmtId="0" fontId="0" fillId="2" borderId="0" xfId="0" applyFont="1" applyFill="1" applyBorder="1" applyProtection="1">
      <protection hidden="1"/>
    </xf>
    <xf numFmtId="171" fontId="0" fillId="10" borderId="0" xfId="0" applyNumberFormat="1" applyFill="1" applyBorder="1" applyProtection="1">
      <protection hidden="1"/>
    </xf>
    <xf numFmtId="0" fontId="0" fillId="10" borderId="0" xfId="0" applyFill="1" applyBorder="1" applyProtection="1">
      <protection hidden="1"/>
    </xf>
    <xf numFmtId="0" fontId="0" fillId="10" borderId="0" xfId="0" applyNumberFormat="1" applyFill="1" applyBorder="1" applyProtection="1">
      <protection hidden="1"/>
    </xf>
    <xf numFmtId="49" fontId="0" fillId="2" borderId="0" xfId="0" applyNumberFormat="1" applyFill="1" applyBorder="1" applyAlignment="1" applyProtection="1">
      <alignment horizontal="left"/>
      <protection hidden="1"/>
    </xf>
    <xf numFmtId="0" fontId="37" fillId="2" borderId="7" xfId="0" applyNumberFormat="1" applyFont="1" applyFill="1" applyBorder="1" applyAlignment="1" applyProtection="1">
      <alignment horizontal="left"/>
      <protection hidden="1"/>
    </xf>
    <xf numFmtId="171" fontId="0" fillId="2" borderId="7" xfId="0" applyNumberFormat="1" applyFill="1" applyBorder="1" applyProtection="1">
      <protection hidden="1"/>
    </xf>
    <xf numFmtId="0" fontId="0" fillId="2" borderId="7" xfId="0" applyNumberFormat="1" applyFill="1" applyBorder="1" applyProtection="1">
      <protection hidden="1"/>
    </xf>
    <xf numFmtId="0" fontId="25" fillId="2" borderId="0" xfId="0" applyNumberFormat="1" applyFont="1" applyFill="1" applyBorder="1" applyAlignment="1" applyProtection="1">
      <alignment horizontal="right"/>
      <protection hidden="1"/>
    </xf>
    <xf numFmtId="0" fontId="25" fillId="2" borderId="7" xfId="0" applyNumberFormat="1" applyFont="1" applyFill="1" applyBorder="1" applyAlignment="1" applyProtection="1">
      <alignment horizontal="left"/>
      <protection hidden="1"/>
    </xf>
    <xf numFmtId="0" fontId="18" fillId="2" borderId="7" xfId="0" applyNumberFormat="1" applyFont="1" applyFill="1" applyBorder="1" applyAlignment="1" applyProtection="1">
      <alignment horizontal="left"/>
      <protection hidden="1"/>
    </xf>
    <xf numFmtId="0" fontId="37" fillId="2" borderId="0" xfId="0" applyFont="1" applyFill="1" applyBorder="1" applyAlignment="1" applyProtection="1">
      <alignment horizontal="left"/>
      <protection hidden="1"/>
    </xf>
    <xf numFmtId="0" fontId="36" fillId="2" borderId="0" xfId="0" applyNumberFormat="1" applyFont="1" applyFill="1" applyAlignment="1" applyProtection="1">
      <alignment vertical="center"/>
      <protection hidden="1"/>
    </xf>
    <xf numFmtId="0" fontId="37" fillId="2" borderId="0" xfId="0" applyFont="1" applyFill="1" applyBorder="1" applyAlignment="1" applyProtection="1">
      <protection hidden="1"/>
    </xf>
    <xf numFmtId="0" fontId="2" fillId="4" borderId="26" xfId="0" applyFont="1" applyFill="1" applyBorder="1" applyAlignment="1" applyProtection="1">
      <alignment vertical="top" wrapText="1"/>
      <protection hidden="1"/>
    </xf>
    <xf numFmtId="165" fontId="18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54" fillId="2" borderId="0" xfId="0" applyFont="1" applyFill="1" applyBorder="1" applyAlignment="1" applyProtection="1">
      <protection hidden="1"/>
    </xf>
    <xf numFmtId="0" fontId="55" fillId="2" borderId="0" xfId="0" applyNumberFormat="1" applyFont="1" applyFill="1" applyBorder="1" applyAlignment="1" applyProtection="1">
      <alignment vertical="top" wrapText="1"/>
      <protection hidden="1"/>
    </xf>
    <xf numFmtId="0" fontId="55" fillId="2" borderId="0" xfId="0" applyFont="1" applyFill="1" applyBorder="1" applyProtection="1">
      <protection hidden="1"/>
    </xf>
    <xf numFmtId="0" fontId="32" fillId="3" borderId="10" xfId="0" applyFont="1" applyFill="1" applyBorder="1" applyAlignment="1" applyProtection="1">
      <alignment horizontal="center" vertical="center" wrapText="1"/>
      <protection hidden="1"/>
    </xf>
    <xf numFmtId="0" fontId="28" fillId="3" borderId="16" xfId="0" applyFont="1" applyFill="1" applyBorder="1" applyAlignment="1" applyProtection="1">
      <alignment vertical="top" wrapText="1"/>
      <protection hidden="1"/>
    </xf>
    <xf numFmtId="0" fontId="19" fillId="3" borderId="16" xfId="0" applyFont="1" applyFill="1" applyBorder="1" applyAlignment="1" applyProtection="1">
      <alignment horizontal="center" vertical="center" wrapText="1"/>
      <protection hidden="1"/>
    </xf>
    <xf numFmtId="1" fontId="18" fillId="3" borderId="17" xfId="0" applyNumberFormat="1" applyFont="1" applyFill="1" applyBorder="1" applyAlignment="1" applyProtection="1">
      <alignment horizontal="center" vertical="center"/>
      <protection hidden="1"/>
    </xf>
    <xf numFmtId="165" fontId="18" fillId="3" borderId="33" xfId="0" applyNumberFormat="1" applyFont="1" applyFill="1" applyBorder="1" applyAlignment="1" applyProtection="1">
      <alignment horizontal="center" vertical="center"/>
      <protection hidden="1"/>
    </xf>
    <xf numFmtId="165" fontId="18" fillId="3" borderId="17" xfId="0" applyNumberFormat="1" applyFont="1" applyFill="1" applyBorder="1" applyAlignment="1" applyProtection="1">
      <alignment horizontal="center" vertical="center"/>
      <protection hidden="1"/>
    </xf>
    <xf numFmtId="0" fontId="10" fillId="3" borderId="8" xfId="0" applyNumberFormat="1" applyFont="1" applyFill="1" applyBorder="1" applyAlignment="1" applyProtection="1">
      <alignment horizontal="center" vertical="top" wrapText="1"/>
      <protection hidden="1"/>
    </xf>
    <xf numFmtId="0" fontId="46" fillId="2" borderId="0" xfId="0" applyFont="1" applyFill="1" applyBorder="1" applyAlignment="1" applyProtection="1">
      <alignment horizontal="center" vertical="center" wrapText="1"/>
      <protection hidden="1"/>
    </xf>
    <xf numFmtId="169" fontId="14" fillId="2" borderId="0" xfId="0" applyNumberFormat="1" applyFont="1" applyFill="1" applyBorder="1" applyProtection="1">
      <protection hidden="1"/>
    </xf>
    <xf numFmtId="0" fontId="18" fillId="3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left"/>
      <protection hidden="1"/>
    </xf>
    <xf numFmtId="49" fontId="2" fillId="8" borderId="25" xfId="0" applyNumberFormat="1" applyFont="1" applyFill="1" applyBorder="1" applyAlignment="1" applyProtection="1">
      <alignment vertical="top" wrapText="1"/>
      <protection hidden="1"/>
    </xf>
    <xf numFmtId="0" fontId="2" fillId="8" borderId="20" xfId="0" applyFont="1" applyFill="1" applyBorder="1" applyAlignment="1" applyProtection="1">
      <alignment vertical="top" wrapText="1"/>
      <protection hidden="1"/>
    </xf>
    <xf numFmtId="0" fontId="8" fillId="3" borderId="19" xfId="0" applyNumberFormat="1" applyFont="1" applyFill="1" applyBorder="1" applyAlignment="1" applyProtection="1">
      <alignment horizontal="center" vertical="top" wrapText="1"/>
      <protection hidden="1"/>
    </xf>
    <xf numFmtId="0" fontId="20" fillId="3" borderId="8" xfId="0" applyNumberFormat="1" applyFont="1" applyFill="1" applyBorder="1" applyProtection="1"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165" fontId="19" fillId="2" borderId="0" xfId="0" applyNumberFormat="1" applyFont="1" applyFill="1" applyBorder="1" applyAlignment="1" applyProtection="1">
      <alignment horizontal="center" vertical="center"/>
      <protection hidden="1"/>
    </xf>
    <xf numFmtId="165" fontId="19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52" fillId="2" borderId="0" xfId="0" applyFont="1" applyFill="1" applyBorder="1" applyAlignment="1" applyProtection="1">
      <alignment horizontal="center" vertical="center" wrapText="1"/>
      <protection hidden="1"/>
    </xf>
    <xf numFmtId="0" fontId="50" fillId="2" borderId="0" xfId="0" applyFont="1" applyFill="1" applyBorder="1" applyAlignment="1" applyProtection="1">
      <alignment horizontal="center" vertical="center" wrapText="1"/>
      <protection hidden="1"/>
    </xf>
    <xf numFmtId="0" fontId="58" fillId="2" borderId="0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top" wrapText="1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32" fillId="8" borderId="4" xfId="0" applyFont="1" applyFill="1" applyBorder="1" applyAlignment="1" applyProtection="1">
      <alignment horizontal="center" vertical="center" wrapText="1"/>
      <protection hidden="1"/>
    </xf>
    <xf numFmtId="0" fontId="48" fillId="2" borderId="0" xfId="0" applyFont="1" applyFill="1" applyBorder="1" applyAlignment="1" applyProtection="1">
      <alignment horizontal="center" vertical="center" wrapText="1"/>
      <protection hidden="1"/>
    </xf>
    <xf numFmtId="0" fontId="2" fillId="8" borderId="4" xfId="0" applyFont="1" applyFill="1" applyBorder="1" applyAlignment="1" applyProtection="1">
      <alignment vertical="top" wrapText="1"/>
      <protection hidden="1"/>
    </xf>
    <xf numFmtId="0" fontId="8" fillId="8" borderId="3" xfId="0" applyFont="1" applyFill="1" applyBorder="1" applyAlignment="1" applyProtection="1">
      <alignment horizontal="center" vertical="center" wrapText="1"/>
      <protection hidden="1"/>
    </xf>
    <xf numFmtId="165" fontId="18" fillId="8" borderId="3" xfId="0" applyNumberFormat="1" applyFont="1" applyFill="1" applyBorder="1" applyAlignment="1" applyProtection="1">
      <alignment horizontal="center" vertical="center"/>
      <protection hidden="1"/>
    </xf>
    <xf numFmtId="0" fontId="18" fillId="14" borderId="0" xfId="0" applyFont="1" applyFill="1" applyBorder="1" applyAlignment="1" applyProtection="1">
      <alignment horizontal="center" vertical="center"/>
      <protection locked="0"/>
    </xf>
    <xf numFmtId="0" fontId="18" fillId="14" borderId="4" xfId="0" applyFont="1" applyFill="1" applyBorder="1" applyAlignment="1" applyProtection="1">
      <alignment horizontal="center" vertical="center"/>
      <protection locked="0"/>
    </xf>
    <xf numFmtId="0" fontId="38" fillId="2" borderId="7" xfId="0" applyFont="1" applyFill="1" applyBorder="1" applyAlignment="1" applyProtection="1">
      <alignment horizontal="left" vertical="center" wrapText="1"/>
      <protection hidden="1"/>
    </xf>
    <xf numFmtId="0" fontId="31" fillId="2" borderId="22" xfId="0" applyNumberFormat="1" applyFont="1" applyFill="1" applyBorder="1" applyAlignment="1" applyProtection="1">
      <alignment horizontal="center" vertical="top" wrapText="1"/>
      <protection hidden="1"/>
    </xf>
    <xf numFmtId="0" fontId="31" fillId="2" borderId="24" xfId="0" applyNumberFormat="1" applyFont="1" applyFill="1" applyBorder="1" applyAlignment="1" applyProtection="1">
      <alignment horizontal="center" vertical="top" wrapText="1"/>
      <protection hidden="1"/>
    </xf>
    <xf numFmtId="0" fontId="10" fillId="3" borderId="8" xfId="0" applyNumberFormat="1" applyFont="1" applyFill="1" applyBorder="1" applyAlignment="1" applyProtection="1">
      <alignment horizontal="center" vertical="top"/>
      <protection hidden="1"/>
    </xf>
    <xf numFmtId="0" fontId="10" fillId="3" borderId="5" xfId="0" applyNumberFormat="1" applyFont="1" applyFill="1" applyBorder="1" applyAlignment="1" applyProtection="1">
      <alignment horizontal="center" vertical="top"/>
      <protection hidden="1"/>
    </xf>
    <xf numFmtId="2" fontId="19" fillId="0" borderId="19" xfId="0" applyNumberFormat="1" applyFont="1" applyFill="1" applyBorder="1" applyAlignment="1" applyProtection="1">
      <alignment horizontal="center" vertical="center"/>
      <protection locked="0"/>
    </xf>
    <xf numFmtId="2" fontId="19" fillId="0" borderId="5" xfId="0" applyNumberFormat="1" applyFont="1" applyFill="1" applyBorder="1" applyAlignment="1" applyProtection="1">
      <alignment horizontal="center" vertical="center"/>
      <protection locked="0"/>
    </xf>
    <xf numFmtId="0" fontId="56" fillId="2" borderId="27" xfId="0" applyNumberFormat="1" applyFont="1" applyFill="1" applyBorder="1" applyAlignment="1" applyProtection="1">
      <alignment horizontal="left" vertical="center" wrapText="1"/>
      <protection hidden="1"/>
    </xf>
    <xf numFmtId="0" fontId="32" fillId="2" borderId="0" xfId="0" applyNumberFormat="1" applyFont="1" applyFill="1" applyBorder="1" applyAlignment="1" applyProtection="1">
      <alignment horizontal="center" vertical="center"/>
      <protection hidden="1"/>
    </xf>
    <xf numFmtId="0" fontId="8" fillId="3" borderId="19" xfId="0" applyNumberFormat="1" applyFont="1" applyFill="1" applyBorder="1" applyAlignment="1" applyProtection="1">
      <alignment horizontal="center" vertical="center"/>
      <protection hidden="1"/>
    </xf>
    <xf numFmtId="0" fontId="8" fillId="3" borderId="8" xfId="0" applyNumberFormat="1" applyFont="1" applyFill="1" applyBorder="1" applyAlignment="1" applyProtection="1">
      <alignment horizontal="center" vertical="center"/>
      <protection hidden="1"/>
    </xf>
    <xf numFmtId="0" fontId="8" fillId="3" borderId="5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/>
      <protection hidden="1"/>
    </xf>
    <xf numFmtId="0" fontId="31" fillId="2" borderId="21" xfId="0" applyNumberFormat="1" applyFont="1" applyFill="1" applyBorder="1" applyAlignment="1" applyProtection="1">
      <alignment horizontal="center" vertical="top"/>
      <protection hidden="1"/>
    </xf>
    <xf numFmtId="0" fontId="31" fillId="2" borderId="28" xfId="0" applyNumberFormat="1" applyFont="1" applyFill="1" applyBorder="1" applyAlignment="1" applyProtection="1">
      <alignment horizontal="center" vertical="top"/>
      <protection hidden="1"/>
    </xf>
    <xf numFmtId="0" fontId="31" fillId="2" borderId="24" xfId="0" applyNumberFormat="1" applyFont="1" applyFill="1" applyBorder="1" applyAlignment="1" applyProtection="1">
      <alignment horizontal="center" vertical="top"/>
      <protection hidden="1"/>
    </xf>
    <xf numFmtId="0" fontId="31" fillId="2" borderId="21" xfId="0" applyNumberFormat="1" applyFont="1" applyFill="1" applyBorder="1" applyAlignment="1" applyProtection="1">
      <alignment horizontal="center" vertical="top" wrapText="1"/>
      <protection hidden="1"/>
    </xf>
    <xf numFmtId="0" fontId="31" fillId="2" borderId="28" xfId="0" applyNumberFormat="1" applyFont="1" applyFill="1" applyBorder="1" applyAlignment="1" applyProtection="1">
      <alignment horizontal="center" vertical="top" wrapText="1"/>
      <protection hidden="1"/>
    </xf>
    <xf numFmtId="0" fontId="19" fillId="2" borderId="19" xfId="0" applyNumberFormat="1" applyFont="1" applyFill="1" applyBorder="1" applyAlignment="1" applyProtection="1">
      <alignment horizontal="center" vertical="center"/>
      <protection locked="0"/>
    </xf>
    <xf numFmtId="0" fontId="19" fillId="2" borderId="5" xfId="0" applyNumberFormat="1" applyFont="1" applyFill="1" applyBorder="1" applyAlignment="1" applyProtection="1">
      <alignment horizontal="center" vertical="center"/>
      <protection locked="0"/>
    </xf>
    <xf numFmtId="0" fontId="19" fillId="2" borderId="8" xfId="0" applyNumberFormat="1" applyFont="1" applyFill="1" applyBorder="1" applyAlignment="1" applyProtection="1">
      <alignment horizontal="center" vertical="center"/>
      <protection locked="0"/>
    </xf>
    <xf numFmtId="0" fontId="15" fillId="2" borderId="19" xfId="1" applyNumberFormat="1" applyFill="1" applyBorder="1" applyAlignment="1" applyProtection="1">
      <alignment horizontal="center" vertical="center"/>
      <protection locked="0"/>
    </xf>
    <xf numFmtId="0" fontId="15" fillId="2" borderId="5" xfId="1" applyNumberFormat="1" applyFill="1" applyBorder="1" applyAlignment="1" applyProtection="1">
      <alignment horizontal="center" vertical="center"/>
      <protection locked="0"/>
    </xf>
    <xf numFmtId="0" fontId="56" fillId="2" borderId="0" xfId="0" applyFont="1" applyFill="1" applyAlignment="1" applyProtection="1">
      <alignment horizontal="right" vertical="top" wrapText="1"/>
      <protection hidden="1"/>
    </xf>
    <xf numFmtId="0" fontId="56" fillId="0" borderId="0" xfId="0" applyFont="1" applyAlignment="1">
      <alignment horizontal="right" vertical="top" wrapText="1"/>
    </xf>
    <xf numFmtId="0" fontId="52" fillId="2" borderId="0" xfId="0" applyFont="1" applyFill="1" applyBorder="1" applyAlignment="1" applyProtection="1">
      <alignment horizontal="center" vertical="center" wrapText="1"/>
      <protection hidden="1"/>
    </xf>
    <xf numFmtId="2" fontId="49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50" fillId="2" borderId="0" xfId="0" applyFont="1" applyFill="1" applyBorder="1" applyAlignment="1" applyProtection="1">
      <alignment horizontal="center" vertical="center" wrapText="1"/>
      <protection hidden="1"/>
    </xf>
    <xf numFmtId="1" fontId="47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63" fillId="2" borderId="0" xfId="0" applyFont="1" applyFill="1" applyAlignment="1" applyProtection="1">
      <alignment horizontal="center" wrapText="1"/>
      <protection hidden="1"/>
    </xf>
    <xf numFmtId="0" fontId="63" fillId="2" borderId="12" xfId="0" applyFont="1" applyFill="1" applyBorder="1" applyAlignment="1" applyProtection="1">
      <alignment horizont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48" fillId="2" borderId="0" xfId="0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10" fontId="18" fillId="11" borderId="22" xfId="0" applyNumberFormat="1" applyFont="1" applyFill="1" applyBorder="1" applyAlignment="1" applyProtection="1">
      <alignment horizontal="center" vertical="center" wrapText="1"/>
      <protection hidden="1"/>
    </xf>
    <xf numFmtId="10" fontId="18" fillId="11" borderId="7" xfId="0" applyNumberFormat="1" applyFont="1" applyFill="1" applyBorder="1" applyAlignment="1" applyProtection="1">
      <alignment horizontal="center" vertical="center" wrapText="1"/>
      <protection hidden="1"/>
    </xf>
    <xf numFmtId="10" fontId="18" fillId="11" borderId="31" xfId="0" applyNumberFormat="1" applyFont="1" applyFill="1" applyBorder="1" applyAlignment="1" applyProtection="1">
      <alignment horizontal="center" vertical="center" wrapText="1"/>
      <protection hidden="1"/>
    </xf>
    <xf numFmtId="10" fontId="18" fillId="11" borderId="26" xfId="0" applyNumberFormat="1" applyFont="1" applyFill="1" applyBorder="1" applyAlignment="1" applyProtection="1">
      <alignment horizontal="center" vertical="center" wrapText="1"/>
      <protection hidden="1"/>
    </xf>
    <xf numFmtId="2" fontId="37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37" fillId="2" borderId="30" xfId="0" applyNumberFormat="1" applyFont="1" applyFill="1" applyBorder="1" applyAlignment="1" applyProtection="1">
      <alignment horizontal="center" vertical="center" wrapText="1"/>
      <protection hidden="1"/>
    </xf>
    <xf numFmtId="2" fontId="37" fillId="2" borderId="26" xfId="0" applyNumberFormat="1" applyFont="1" applyFill="1" applyBorder="1" applyAlignment="1" applyProtection="1">
      <alignment horizontal="center" vertical="center" wrapText="1"/>
      <protection hidden="1"/>
    </xf>
    <xf numFmtId="2" fontId="37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38" fillId="2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>
      <alignment horizontal="right" vertical="top" wrapText="1"/>
    </xf>
    <xf numFmtId="0" fontId="32" fillId="5" borderId="2" xfId="0" applyFont="1" applyFill="1" applyBorder="1" applyAlignment="1" applyProtection="1">
      <alignment horizontal="center" vertical="center" wrapText="1"/>
      <protection hidden="1"/>
    </xf>
    <xf numFmtId="0" fontId="32" fillId="5" borderId="3" xfId="0" applyFont="1" applyFill="1" applyBorder="1" applyAlignment="1" applyProtection="1">
      <alignment horizontal="center" vertical="center" wrapText="1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32" fillId="8" borderId="4" xfId="0" applyFont="1" applyFill="1" applyBorder="1" applyAlignment="1" applyProtection="1">
      <alignment horizontal="center" vertical="center" wrapText="1"/>
      <protection hidden="1"/>
    </xf>
    <xf numFmtId="0" fontId="38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top" wrapText="1"/>
      <protection hidden="1"/>
    </xf>
    <xf numFmtId="0" fontId="0" fillId="2" borderId="0" xfId="0" applyFill="1" applyBorder="1" applyAlignment="1" applyProtection="1">
      <alignment horizontal="center" vertical="top" wrapText="1"/>
      <protection hidden="1"/>
    </xf>
    <xf numFmtId="0" fontId="61" fillId="0" borderId="0" xfId="0" applyFont="1" applyBorder="1" applyAlignment="1">
      <alignment horizontal="center" vertical="center" wrapText="1"/>
    </xf>
    <xf numFmtId="0" fontId="61" fillId="0" borderId="26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hidden="1"/>
    </xf>
    <xf numFmtId="0" fontId="57" fillId="11" borderId="22" xfId="0" applyFont="1" applyFill="1" applyBorder="1" applyAlignment="1" applyProtection="1">
      <alignment horizontal="center" wrapText="1"/>
      <protection hidden="1"/>
    </xf>
    <xf numFmtId="0" fontId="57" fillId="11" borderId="7" xfId="0" applyFont="1" applyFill="1" applyBorder="1" applyAlignment="1" applyProtection="1">
      <alignment horizontal="center" wrapText="1"/>
      <protection hidden="1"/>
    </xf>
    <xf numFmtId="0" fontId="57" fillId="11" borderId="30" xfId="0" applyFont="1" applyFill="1" applyBorder="1" applyAlignment="1" applyProtection="1">
      <alignment horizontal="center" wrapText="1"/>
      <protection hidden="1"/>
    </xf>
    <xf numFmtId="2" fontId="25" fillId="5" borderId="31" xfId="0" applyNumberFormat="1" applyFont="1" applyFill="1" applyBorder="1" applyAlignment="1" applyProtection="1">
      <alignment horizontal="center" vertical="center"/>
      <protection hidden="1"/>
    </xf>
    <xf numFmtId="2" fontId="25" fillId="5" borderId="26" xfId="0" applyNumberFormat="1" applyFont="1" applyFill="1" applyBorder="1" applyAlignment="1" applyProtection="1">
      <alignment horizontal="center" vertical="center"/>
      <protection hidden="1"/>
    </xf>
    <xf numFmtId="0" fontId="37" fillId="2" borderId="26" xfId="0" applyFont="1" applyFill="1" applyBorder="1" applyAlignment="1" applyProtection="1">
      <alignment horizontal="center" vertical="center" wrapText="1"/>
      <protection hidden="1"/>
    </xf>
    <xf numFmtId="0" fontId="37" fillId="2" borderId="32" xfId="0" applyFont="1" applyFill="1" applyBorder="1" applyAlignment="1" applyProtection="1">
      <alignment horizontal="center" vertical="center" wrapText="1"/>
      <protection hidden="1"/>
    </xf>
    <xf numFmtId="0" fontId="57" fillId="12" borderId="22" xfId="0" applyFont="1" applyFill="1" applyBorder="1" applyAlignment="1" applyProtection="1">
      <alignment horizontal="center" vertical="center" wrapText="1"/>
      <protection hidden="1"/>
    </xf>
    <xf numFmtId="0" fontId="57" fillId="12" borderId="7" xfId="0" applyFont="1" applyFill="1" applyBorder="1" applyAlignment="1" applyProtection="1">
      <alignment horizontal="center" vertical="center" wrapText="1"/>
      <protection hidden="1"/>
    </xf>
    <xf numFmtId="0" fontId="57" fillId="12" borderId="30" xfId="0" applyFont="1" applyFill="1" applyBorder="1" applyAlignment="1" applyProtection="1">
      <alignment horizontal="center" vertical="center" wrapText="1"/>
      <protection hidden="1"/>
    </xf>
    <xf numFmtId="167" fontId="25" fillId="2" borderId="26" xfId="0" applyNumberFormat="1" applyFont="1" applyFill="1" applyBorder="1" applyAlignment="1" applyProtection="1">
      <alignment horizontal="center" vertical="center" wrapText="1"/>
      <protection hidden="1"/>
    </xf>
    <xf numFmtId="167" fontId="25" fillId="2" borderId="32" xfId="0" applyNumberFormat="1" applyFont="1" applyFill="1" applyBorder="1" applyAlignment="1" applyProtection="1">
      <alignment horizontal="center" vertical="center" wrapText="1"/>
      <protection hidden="1"/>
    </xf>
    <xf numFmtId="10" fontId="37" fillId="2" borderId="0" xfId="0" applyNumberFormat="1" applyFont="1" applyFill="1" applyBorder="1" applyAlignment="1" applyProtection="1">
      <alignment horizontal="center" vertical="center" wrapText="1"/>
      <protection hidden="1"/>
    </xf>
    <xf numFmtId="10" fontId="37" fillId="2" borderId="29" xfId="0" applyNumberFormat="1" applyFont="1" applyFill="1" applyBorder="1" applyAlignment="1" applyProtection="1">
      <alignment horizontal="center" vertical="center" wrapText="1"/>
      <protection hidden="1"/>
    </xf>
    <xf numFmtId="10" fontId="25" fillId="5" borderId="27" xfId="0" applyNumberFormat="1" applyFont="1" applyFill="1" applyBorder="1" applyAlignment="1" applyProtection="1">
      <alignment horizontal="center" vertical="center" wrapText="1"/>
      <protection hidden="1"/>
    </xf>
    <xf numFmtId="10" fontId="25" fillId="5" borderId="0" xfId="0" applyNumberFormat="1" applyFont="1" applyFill="1" applyBorder="1" applyAlignment="1" applyProtection="1">
      <alignment horizontal="center" vertical="center" wrapText="1"/>
      <protection hidden="1"/>
    </xf>
    <xf numFmtId="2" fontId="25" fillId="5" borderId="31" xfId="0" applyNumberFormat="1" applyFont="1" applyFill="1" applyBorder="1" applyAlignment="1" applyProtection="1">
      <alignment horizontal="center" vertical="center" wrapText="1"/>
      <protection hidden="1"/>
    </xf>
    <xf numFmtId="2" fontId="25" fillId="5" borderId="26" xfId="0" applyNumberFormat="1" applyFont="1" applyFill="1" applyBorder="1" applyAlignment="1" applyProtection="1">
      <alignment horizontal="center" vertical="center" wrapText="1"/>
      <protection hidden="1"/>
    </xf>
    <xf numFmtId="0" fontId="57" fillId="6" borderId="22" xfId="0" applyFont="1" applyFill="1" applyBorder="1" applyAlignment="1" applyProtection="1">
      <alignment horizontal="center" vertical="center" wrapText="1"/>
      <protection hidden="1"/>
    </xf>
    <xf numFmtId="0" fontId="57" fillId="6" borderId="7" xfId="0" applyFont="1" applyFill="1" applyBorder="1" applyAlignment="1" applyProtection="1">
      <alignment horizontal="center" vertical="center" wrapText="1"/>
      <protection hidden="1"/>
    </xf>
    <xf numFmtId="0" fontId="57" fillId="6" borderId="0" xfId="0" applyFont="1" applyFill="1" applyBorder="1" applyAlignment="1" applyProtection="1">
      <alignment horizontal="center" vertical="center" wrapText="1"/>
      <protection hidden="1"/>
    </xf>
    <xf numFmtId="0" fontId="57" fillId="6" borderId="29" xfId="0" applyFont="1" applyFill="1" applyBorder="1" applyAlignment="1" applyProtection="1">
      <alignment horizontal="center" vertical="center" wrapText="1"/>
      <protection hidden="1"/>
    </xf>
    <xf numFmtId="170" fontId="25" fillId="5" borderId="31" xfId="0" applyNumberFormat="1" applyFont="1" applyFill="1" applyBorder="1" applyAlignment="1" applyProtection="1">
      <alignment horizontal="center" vertical="center" wrapText="1"/>
      <protection hidden="1"/>
    </xf>
    <xf numFmtId="170" fontId="25" fillId="5" borderId="26" xfId="0" applyNumberFormat="1" applyFont="1" applyFill="1" applyBorder="1" applyAlignment="1" applyProtection="1">
      <alignment horizontal="center" vertical="center" wrapText="1"/>
      <protection hidden="1"/>
    </xf>
    <xf numFmtId="170" fontId="37" fillId="2" borderId="26" xfId="0" applyNumberFormat="1" applyFont="1" applyFill="1" applyBorder="1" applyAlignment="1" applyProtection="1">
      <alignment horizontal="center" vertical="center" wrapText="1"/>
      <protection hidden="1"/>
    </xf>
    <xf numFmtId="170" fontId="37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65" fillId="2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0" fillId="2" borderId="7" xfId="0" applyFill="1" applyBorder="1" applyAlignment="1" applyProtection="1">
      <alignment horizontal="left" vertical="top" wrapText="1"/>
      <protection hidden="1"/>
    </xf>
    <xf numFmtId="0" fontId="0" fillId="2" borderId="0" xfId="0" applyFill="1" applyBorder="1" applyAlignment="1" applyProtection="1">
      <alignment horizontal="left" vertical="top" wrapText="1"/>
      <protection hidden="1"/>
    </xf>
    <xf numFmtId="0" fontId="20" fillId="2" borderId="7" xfId="0" applyNumberFormat="1" applyFont="1" applyFill="1" applyBorder="1" applyAlignment="1" applyProtection="1">
      <alignment horizontal="left" vertical="top" wrapText="1"/>
      <protection hidden="1"/>
    </xf>
    <xf numFmtId="0" fontId="20" fillId="2" borderId="0" xfId="0" applyNumberFormat="1" applyFont="1" applyFill="1" applyBorder="1" applyAlignment="1" applyProtection="1">
      <alignment horizontal="left" vertical="top" wrapText="1"/>
      <protection hidden="1"/>
    </xf>
    <xf numFmtId="0" fontId="39" fillId="2" borderId="0" xfId="0" applyFont="1" applyFill="1" applyBorder="1" applyAlignment="1" applyProtection="1">
      <alignment horizontal="left"/>
      <protection hidden="1"/>
    </xf>
    <xf numFmtId="0" fontId="39" fillId="2" borderId="26" xfId="0" applyFont="1" applyFill="1" applyBorder="1" applyAlignment="1" applyProtection="1">
      <alignment horizontal="left"/>
      <protection hidden="1"/>
    </xf>
    <xf numFmtId="0" fontId="31" fillId="13" borderId="7" xfId="2" applyNumberFormat="1" applyFont="1" applyFill="1" applyBorder="1" applyAlignment="1" applyProtection="1">
      <alignment horizontal="left" vertical="top" wrapText="1"/>
      <protection hidden="1"/>
    </xf>
    <xf numFmtId="0" fontId="31" fillId="13" borderId="0" xfId="2" applyNumberFormat="1" applyFont="1" applyFill="1" applyBorder="1" applyAlignment="1" applyProtection="1">
      <alignment horizontal="left" vertical="top" wrapText="1"/>
      <protection hidden="1"/>
    </xf>
    <xf numFmtId="170" fontId="37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37" fillId="2" borderId="0" xfId="0" applyFont="1" applyFill="1" applyBorder="1" applyAlignment="1" applyProtection="1">
      <alignment horizontal="center" vertical="center" wrapText="1"/>
      <protection hidden="1"/>
    </xf>
    <xf numFmtId="10" fontId="37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37" fillId="2" borderId="0" xfId="0" applyFont="1" applyFill="1" applyBorder="1" applyAlignment="1" applyProtection="1">
      <alignment horizontal="center" wrapText="1"/>
      <protection hidden="1"/>
    </xf>
    <xf numFmtId="2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167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8" fillId="2" borderId="0" xfId="0" applyFont="1" applyFill="1" applyBorder="1" applyAlignment="1" applyProtection="1">
      <alignment horizontal="center" vertical="center" wrapText="1"/>
      <protection hidden="1"/>
    </xf>
    <xf numFmtId="10" fontId="24" fillId="12" borderId="23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 wrapText="1"/>
      <protection hidden="1"/>
    </xf>
    <xf numFmtId="10" fontId="25" fillId="5" borderId="23" xfId="0" applyNumberFormat="1" applyFont="1" applyFill="1" applyBorder="1" applyAlignment="1" applyProtection="1">
      <alignment horizontal="center" vertical="center" wrapText="1"/>
      <protection hidden="1"/>
    </xf>
    <xf numFmtId="167" fontId="25" fillId="2" borderId="23" xfId="0" applyNumberFormat="1" applyFont="1" applyFill="1" applyBorder="1" applyAlignment="1" applyProtection="1">
      <alignment horizontal="center" vertical="center" wrapText="1"/>
      <protection hidden="1"/>
    </xf>
    <xf numFmtId="2" fontId="25" fillId="5" borderId="23" xfId="0" applyNumberFormat="1" applyFont="1" applyFill="1" applyBorder="1" applyAlignment="1" applyProtection="1">
      <alignment horizontal="center" vertical="center"/>
      <protection hidden="1"/>
    </xf>
    <xf numFmtId="0" fontId="37" fillId="2" borderId="23" xfId="0" applyFont="1" applyFill="1" applyBorder="1" applyAlignment="1" applyProtection="1">
      <alignment horizontal="center" vertical="center" wrapText="1"/>
      <protection hidden="1"/>
    </xf>
    <xf numFmtId="2" fontId="24" fillId="11" borderId="23" xfId="0" applyNumberFormat="1" applyFont="1" applyFill="1" applyBorder="1" applyAlignment="1" applyProtection="1">
      <alignment horizontal="center" vertical="center"/>
      <protection hidden="1"/>
    </xf>
    <xf numFmtId="0" fontId="25" fillId="10" borderId="0" xfId="0" applyNumberFormat="1" applyFont="1" applyFill="1" applyBorder="1" applyAlignment="1" applyProtection="1">
      <alignment horizontal="right"/>
      <protection hidden="1"/>
    </xf>
    <xf numFmtId="0" fontId="18" fillId="2" borderId="0" xfId="0" applyNumberFormat="1" applyFont="1" applyFill="1" applyBorder="1" applyAlignment="1" applyProtection="1">
      <alignment horizontal="center"/>
      <protection hidden="1"/>
    </xf>
    <xf numFmtId="170" fontId="25" fillId="5" borderId="23" xfId="0" applyNumberFormat="1" applyFont="1" applyFill="1" applyBorder="1" applyAlignment="1" applyProtection="1">
      <alignment horizontal="center" vertical="center" wrapText="1"/>
      <protection hidden="1"/>
    </xf>
    <xf numFmtId="0" fontId="29" fillId="6" borderId="23" xfId="0" applyFont="1" applyFill="1" applyBorder="1" applyAlignment="1" applyProtection="1">
      <alignment horizontal="center" wrapText="1"/>
      <protection hidden="1"/>
    </xf>
    <xf numFmtId="2" fontId="25" fillId="5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7" xfId="0" applyNumberFormat="1" applyFont="1" applyFill="1" applyBorder="1" applyAlignment="1" applyProtection="1">
      <alignment horizontal="left"/>
      <protection hidden="1"/>
    </xf>
    <xf numFmtId="0" fontId="25" fillId="2" borderId="7" xfId="0" applyNumberFormat="1" applyFont="1" applyFill="1" applyBorder="1" applyAlignment="1" applyProtection="1">
      <alignment horizontal="right"/>
      <protection hidden="1"/>
    </xf>
    <xf numFmtId="0" fontId="22" fillId="2" borderId="0" xfId="0" applyFont="1" applyFill="1" applyBorder="1" applyAlignment="1" applyProtection="1">
      <alignment horizontal="center"/>
      <protection hidden="1"/>
    </xf>
    <xf numFmtId="0" fontId="39" fillId="2" borderId="0" xfId="0" applyFont="1" applyFill="1" applyBorder="1" applyAlignment="1" applyProtection="1">
      <alignment horizontal="center" vertical="center" wrapText="1"/>
      <protection hidden="1"/>
    </xf>
    <xf numFmtId="0" fontId="36" fillId="2" borderId="0" xfId="0" applyFont="1" applyFill="1" applyAlignment="1" applyProtection="1">
      <alignment horizontal="center"/>
      <protection hidden="1"/>
    </xf>
    <xf numFmtId="14" fontId="19" fillId="2" borderId="0" xfId="0" applyNumberFormat="1" applyFont="1" applyFill="1" applyBorder="1" applyAlignment="1" applyProtection="1">
      <alignment horizontal="left"/>
      <protection hidden="1"/>
    </xf>
    <xf numFmtId="0" fontId="18" fillId="2" borderId="0" xfId="0" applyNumberFormat="1" applyFont="1" applyFill="1" applyBorder="1" applyAlignment="1" applyProtection="1">
      <alignment horizontal="left"/>
      <protection hidden="1"/>
    </xf>
    <xf numFmtId="0" fontId="60" fillId="2" borderId="0" xfId="0" applyFont="1" applyFill="1" applyAlignment="1" applyProtection="1">
      <alignment horizontal="left"/>
      <protection hidden="1"/>
    </xf>
    <xf numFmtId="0" fontId="36" fillId="2" borderId="0" xfId="0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horizontal="left" wrapText="1"/>
      <protection hidden="1"/>
    </xf>
    <xf numFmtId="14" fontId="19" fillId="2" borderId="0" xfId="0" applyNumberFormat="1" applyFont="1" applyFill="1" applyBorder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</cellXfs>
  <cellStyles count="3">
    <cellStyle name="Hyperlinkki" xfId="1" builtinId="8"/>
    <cellStyle name="Normaali" xfId="0" builtinId="0"/>
    <cellStyle name="Pilkku" xfId="2" builtinId="3"/>
  </cellStyles>
  <dxfs count="31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b/>
        <i val="0"/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  <dxf>
      <font>
        <color rgb="FFC00000"/>
      </font>
      <fill>
        <patternFill>
          <bgColor rgb="FFFFC8CD"/>
        </patternFill>
      </fill>
    </dxf>
  </dxfs>
  <tableStyles count="0" defaultTableStyle="TableStyleMedium2" defaultPivotStyle="PivotStyleLight16"/>
  <colors>
    <mruColors>
      <color rgb="FFE7E6E6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>
              <a:defRPr sz="15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i-FI" sz="1500" b="1"/>
              <a:t>Osuus</a:t>
            </a:r>
            <a:r>
              <a:rPr lang="fi-FI" sz="1500" b="1" baseline="0"/>
              <a:t> viherkertoimen painotetusta kokonaispinta-alasta</a:t>
            </a:r>
            <a:r>
              <a:rPr lang="fi-FI" sz="1500" b="1"/>
              <a:t>, %</a:t>
            </a:r>
          </a:p>
        </c:rich>
      </c:tx>
      <c:layout>
        <c:manualLayout>
          <c:xMode val="edge"/>
          <c:yMode val="edge"/>
          <c:x val="0.14139252922104462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747043223237569"/>
          <c:y val="0.16184923491078404"/>
          <c:w val="0.59508122363648464"/>
          <c:h val="0.52654699041899766"/>
        </c:manualLayout>
      </c:layout>
      <c:pieChart>
        <c:varyColors val="1"/>
        <c:ser>
          <c:idx val="0"/>
          <c:order val="0"/>
          <c:tx>
            <c:strRef>
              <c:f>Tulokset!$X$25</c:f>
              <c:strCache>
                <c:ptCount val="1"/>
                <c:pt idx="0">
                  <c:v>Share of total weighted area, %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913-48FB-9529-42C0053B25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13-48FB-9529-42C0053B25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13-48FB-9529-42C0053B25E4}"/>
              </c:ext>
            </c:extLst>
          </c:dPt>
          <c:dPt>
            <c:idx val="3"/>
            <c:bubble3D val="0"/>
            <c:spPr>
              <a:solidFill>
                <a:srgbClr val="D096C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A3-4A7F-B597-8130EF543F7A}"/>
              </c:ext>
            </c:extLst>
          </c:dPt>
          <c:dLbls>
            <c:dLbl>
              <c:idx val="0"/>
              <c:layout>
                <c:manualLayout>
                  <c:x val="2.7684443032644588E-2"/>
                  <c:y val="5.472393305325556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3-48FB-9529-42C0053B25E4}"/>
                </c:ext>
              </c:extLst>
            </c:dLbl>
            <c:dLbl>
              <c:idx val="1"/>
              <c:layout>
                <c:manualLayout>
                  <c:x val="-2.3389747870603619E-3"/>
                  <c:y val="5.30981642251373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3-48FB-9529-42C0053B25E4}"/>
                </c:ext>
              </c:extLst>
            </c:dLbl>
            <c:dLbl>
              <c:idx val="2"/>
              <c:layout>
                <c:manualLayout>
                  <c:x val="-9.8205618799264219E-3"/>
                  <c:y val="4.49269632897319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i-FI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3-48FB-9529-42C0053B25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i-FI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Tulokset!$W$26:$W$30</c15:sqref>
                  </c15:fullRef>
                </c:ext>
              </c:extLst>
              <c:f>(Tulokset!$W$26:$W$27,Tulokset!$W$29:$W$30)</c:f>
              <c:strCache>
                <c:ptCount val="4"/>
                <c:pt idx="0">
                  <c:v>Säilytettävä kasvillisuus ja maaperä</c:v>
                </c:pt>
                <c:pt idx="1">
                  <c:v>Istutettava / kylvettävä kasvillisuus</c:v>
                </c:pt>
                <c:pt idx="2">
                  <c:v>Läpäisevät ja puoliläpäisevät pinnoitteet</c:v>
                </c:pt>
                <c:pt idx="3">
                  <c:v>Bonuselementit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Tulokset!$X$26:$X$30</c15:sqref>
                  </c15:fullRef>
                </c:ext>
              </c:extLst>
              <c:f>(Tulokset!$X$26:$X$27,Tulokset!$X$29:$X$30)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Tulokset!$X$28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1"/>
                    <c:layout>
                      <c:manualLayout>
                        <c:x val="-5.0035828525416262E-3"/>
                        <c:y val="-8.5837874922999532E-3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050" b="0" i="0" u="none" strike="noStrike" baseline="0">
                            <a:solidFill>
                              <a:srgbClr val="333333"/>
                            </a:solidFill>
                            <a:latin typeface="Calibri"/>
                            <a:ea typeface="Calibri"/>
                            <a:cs typeface="Calibri"/>
                          </a:defRPr>
                        </a:pPr>
                        <a:endParaRPr lang="fi-FI"/>
                      </a:p>
                    </c:txPr>
                    <c:dLblPos val="bestFit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9AAB-4441-B9C1-65011BD9CE0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3913-48FB-9529-42C0053B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.xml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31750</xdr:rowOff>
    </xdr:from>
    <xdr:to>
      <xdr:col>1</xdr:col>
      <xdr:colOff>0</xdr:colOff>
      <xdr:row>0</xdr:row>
      <xdr:rowOff>680720</xdr:rowOff>
    </xdr:to>
    <xdr:pic>
      <xdr:nvPicPr>
        <xdr:cNvPr id="1063" name="Kuva 2">
          <a:extLst>
            <a:ext uri="{FF2B5EF4-FFF2-40B4-BE49-F238E27FC236}">
              <a16:creationId xmlns:a16="http://schemas.microsoft.com/office/drawing/2014/main" id="{BDE31959-6F26-4FC2-89A7-C956BEA78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31750"/>
          <a:ext cx="16065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30479</xdr:colOff>
      <xdr:row>17</xdr:row>
      <xdr:rowOff>182879</xdr:rowOff>
    </xdr:from>
    <xdr:to>
      <xdr:col>2</xdr:col>
      <xdr:colOff>1364351</xdr:colOff>
      <xdr:row>19</xdr:row>
      <xdr:rowOff>148589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CCFCC8C-1FC3-4915-811F-F2DD587FEF2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29" y="4764404"/>
          <a:ext cx="3492237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759883</xdr:colOff>
      <xdr:row>0</xdr:row>
      <xdr:rowOff>57149</xdr:rowOff>
    </xdr:from>
    <xdr:to>
      <xdr:col>2</xdr:col>
      <xdr:colOff>909743</xdr:colOff>
      <xdr:row>0</xdr:row>
      <xdr:rowOff>681354</xdr:rowOff>
    </xdr:to>
    <xdr:pic>
      <xdr:nvPicPr>
        <xdr:cNvPr id="2087" name="Kuva 3">
          <a:extLst>
            <a:ext uri="{FF2B5EF4-FFF2-40B4-BE49-F238E27FC236}">
              <a16:creationId xmlns:a16="http://schemas.microsoft.com/office/drawing/2014/main" id="{11AD065F-FCBD-4007-A7DB-0936DC79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883" y="57149"/>
          <a:ext cx="1626023" cy="624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85181</xdr:rowOff>
    </xdr:from>
    <xdr:to>
      <xdr:col>4</xdr:col>
      <xdr:colOff>147746</xdr:colOff>
      <xdr:row>39</xdr:row>
      <xdr:rowOff>117838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3022904-03F3-4C68-AA2D-75C412B38B6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8038"/>
          <a:ext cx="3015860" cy="4264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0</xdr:row>
      <xdr:rowOff>0</xdr:rowOff>
    </xdr:from>
    <xdr:to>
      <xdr:col>2</xdr:col>
      <xdr:colOff>1447800</xdr:colOff>
      <xdr:row>2</xdr:row>
      <xdr:rowOff>34925</xdr:rowOff>
    </xdr:to>
    <xdr:pic>
      <xdr:nvPicPr>
        <xdr:cNvPr id="3225" name="Kuva 5">
          <a:extLst>
            <a:ext uri="{FF2B5EF4-FFF2-40B4-BE49-F238E27FC236}">
              <a16:creationId xmlns:a16="http://schemas.microsoft.com/office/drawing/2014/main" id="{8D4B7756-1EEA-4AB2-91B0-FB22122E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0"/>
          <a:ext cx="1492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6350</xdr:colOff>
      <xdr:row>18</xdr:row>
      <xdr:rowOff>38100</xdr:rowOff>
    </xdr:from>
    <xdr:to>
      <xdr:col>9</xdr:col>
      <xdr:colOff>285750</xdr:colOff>
      <xdr:row>40</xdr:row>
      <xdr:rowOff>152400</xdr:rowOff>
    </xdr:to>
    <xdr:graphicFrame macro="">
      <xdr:nvGraphicFramePr>
        <xdr:cNvPr id="3226" name="Kaavio 6">
          <a:extLst>
            <a:ext uri="{FF2B5EF4-FFF2-40B4-BE49-F238E27FC236}">
              <a16:creationId xmlns:a16="http://schemas.microsoft.com/office/drawing/2014/main" id="{E1E60E54-05F4-4163-9EEB-0B333AA0C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381000</xdr:colOff>
      <xdr:row>0</xdr:row>
      <xdr:rowOff>23284</xdr:rowOff>
    </xdr:from>
    <xdr:to>
      <xdr:col>11</xdr:col>
      <xdr:colOff>1481243</xdr:colOff>
      <xdr:row>2</xdr:row>
      <xdr:rowOff>72179</xdr:rowOff>
    </xdr:to>
    <xdr:pic>
      <xdr:nvPicPr>
        <xdr:cNvPr id="3228" name="Kuva 11">
          <a:extLst>
            <a:ext uri="{FF2B5EF4-FFF2-40B4-BE49-F238E27FC236}">
              <a16:creationId xmlns:a16="http://schemas.microsoft.com/office/drawing/2014/main" id="{B9ED115F-5A5D-4909-B021-9086C3D4B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23284"/>
          <a:ext cx="1479550" cy="58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13970</xdr:colOff>
      <xdr:row>54</xdr:row>
      <xdr:rowOff>26550</xdr:rowOff>
    </xdr:from>
    <xdr:to>
      <xdr:col>13</xdr:col>
      <xdr:colOff>423</xdr:colOff>
      <xdr:row>55</xdr:row>
      <xdr:rowOff>79799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B5BF4071-53F5-445D-89EE-A85668F29131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3370" y="11177150"/>
          <a:ext cx="1755986" cy="257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9.9978637043366805E-2"/>
  </sheetPr>
  <dimension ref="A1:AK60"/>
  <sheetViews>
    <sheetView tabSelected="1" zoomScale="80" zoomScaleNormal="80" workbookViewId="0">
      <selection activeCell="B5" sqref="B5"/>
    </sheetView>
  </sheetViews>
  <sheetFormatPr defaultColWidth="9.33203125" defaultRowHeight="14.4" x14ac:dyDescent="0.3"/>
  <cols>
    <col min="1" max="1" width="23.6640625" style="63" customWidth="1"/>
    <col min="2" max="2" width="32.5546875" style="63" customWidth="1"/>
    <col min="3" max="3" width="32.44140625" style="63" customWidth="1"/>
    <col min="4" max="4" width="15.6640625" style="63" customWidth="1"/>
    <col min="5" max="5" width="30.6640625" style="63" customWidth="1"/>
    <col min="6" max="6" width="0.6640625" style="63" customWidth="1"/>
    <col min="7" max="14" width="32.6640625" style="63" customWidth="1"/>
    <col min="15" max="25" width="9.6640625" style="63" customWidth="1"/>
    <col min="26" max="26" width="5.33203125" style="67" customWidth="1"/>
    <col min="27" max="27" width="45.33203125" style="67" customWidth="1"/>
    <col min="28" max="29" width="16.6640625" style="67" customWidth="1"/>
    <col min="30" max="30" width="25.5546875" style="67" customWidth="1"/>
    <col min="31" max="31" width="9.33203125" style="67" customWidth="1"/>
    <col min="32" max="16384" width="9.33203125" style="67"/>
  </cols>
  <sheetData>
    <row r="1" spans="1:37" ht="54.75" customHeight="1" x14ac:dyDescent="0.3">
      <c r="A1" s="245"/>
      <c r="B1" s="245"/>
    </row>
    <row r="2" spans="1:37" s="65" customFormat="1" ht="26.25" customHeight="1" x14ac:dyDescent="0.3">
      <c r="A2" s="89" t="s">
        <v>120</v>
      </c>
      <c r="B2" s="7">
        <f ca="1">TODAY()</f>
        <v>44508</v>
      </c>
      <c r="C2" s="89" t="s">
        <v>19</v>
      </c>
      <c r="D2" s="253"/>
      <c r="E2" s="252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37" s="65" customFormat="1" ht="5.0999999999999996" customHeight="1" x14ac:dyDescent="0.3">
      <c r="A3" s="81"/>
      <c r="B3" s="81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37" s="65" customFormat="1" ht="18" customHeight="1" x14ac:dyDescent="0.3">
      <c r="A4" s="246" t="s">
        <v>34</v>
      </c>
      <c r="B4" s="128" t="s">
        <v>30</v>
      </c>
      <c r="C4" s="126" t="s">
        <v>20</v>
      </c>
      <c r="D4" s="126" t="s">
        <v>64</v>
      </c>
      <c r="E4" s="127" t="s">
        <v>67</v>
      </c>
      <c r="G4" s="240" t="s">
        <v>91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37" s="65" customFormat="1" ht="18.75" customHeight="1" x14ac:dyDescent="0.3">
      <c r="A5" s="247"/>
      <c r="B5" s="96"/>
      <c r="C5" s="109"/>
      <c r="D5" s="97"/>
      <c r="E5" s="98"/>
      <c r="G5" s="240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37" s="65" customFormat="1" ht="18.75" customHeight="1" x14ac:dyDescent="0.3">
      <c r="A6" s="247"/>
      <c r="B6" s="242" t="s">
        <v>21</v>
      </c>
      <c r="C6" s="243"/>
      <c r="D6" s="243"/>
      <c r="E6" s="244"/>
      <c r="G6" s="240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37" s="65" customFormat="1" ht="18.75" customHeight="1" x14ac:dyDescent="0.3">
      <c r="A7" s="248"/>
      <c r="B7" s="251"/>
      <c r="C7" s="253"/>
      <c r="D7" s="253"/>
      <c r="E7" s="252"/>
      <c r="G7" s="240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37" s="65" customFormat="1" ht="5.0999999999999996" customHeight="1" x14ac:dyDescent="0.3">
      <c r="A8" s="64"/>
      <c r="C8" s="64"/>
      <c r="D8" s="66"/>
      <c r="E8" s="66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37" s="65" customFormat="1" ht="18.75" customHeight="1" x14ac:dyDescent="0.3">
      <c r="A9" s="249" t="s">
        <v>66</v>
      </c>
      <c r="B9" s="242" t="s">
        <v>22</v>
      </c>
      <c r="C9" s="243"/>
      <c r="D9" s="243"/>
      <c r="E9" s="24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spans="1:37" s="65" customFormat="1" ht="21.75" customHeight="1" x14ac:dyDescent="0.3">
      <c r="A10" s="250"/>
      <c r="B10" s="251"/>
      <c r="C10" s="253"/>
      <c r="D10" s="253"/>
      <c r="E10" s="252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</row>
    <row r="11" spans="1:37" s="65" customFormat="1" ht="21.75" customHeight="1" x14ac:dyDescent="0.35">
      <c r="A11" s="250"/>
      <c r="B11" s="128" t="s">
        <v>23</v>
      </c>
      <c r="C11" s="216"/>
      <c r="D11" s="243" t="s">
        <v>24</v>
      </c>
      <c r="E11" s="244"/>
      <c r="F11" s="116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Z11" s="241"/>
      <c r="AA11" s="241"/>
      <c r="AB11" s="138"/>
      <c r="AC11" s="138"/>
      <c r="AD11" s="138"/>
      <c r="AI11" s="139"/>
      <c r="AJ11" s="140"/>
      <c r="AK11" s="140"/>
    </row>
    <row r="12" spans="1:37" s="65" customFormat="1" ht="21.75" customHeight="1" x14ac:dyDescent="0.3">
      <c r="A12" s="235"/>
      <c r="B12" s="251"/>
      <c r="C12" s="252"/>
      <c r="D12" s="254"/>
      <c r="E12" s="255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Z12" s="141"/>
      <c r="AA12" s="142"/>
      <c r="AB12" s="143"/>
      <c r="AC12" s="143"/>
      <c r="AD12" s="141"/>
    </row>
    <row r="13" spans="1:37" s="65" customFormat="1" ht="4.95" customHeight="1" x14ac:dyDescent="0.3">
      <c r="A13" s="64"/>
      <c r="C13" s="64"/>
      <c r="D13" s="66"/>
      <c r="E13" s="66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</row>
    <row r="14" spans="1:37" s="65" customFormat="1" ht="52.2" customHeight="1" x14ac:dyDescent="0.3">
      <c r="A14" s="234" t="s">
        <v>92</v>
      </c>
      <c r="B14" s="215" t="s">
        <v>104</v>
      </c>
      <c r="C14" s="208" t="s">
        <v>122</v>
      </c>
      <c r="D14" s="236" t="s">
        <v>117</v>
      </c>
      <c r="E14" s="237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</row>
    <row r="15" spans="1:37" s="65" customFormat="1" ht="21.75" customHeight="1" x14ac:dyDescent="0.3">
      <c r="A15" s="235"/>
      <c r="B15" s="149"/>
      <c r="C15" s="114"/>
      <c r="D15" s="238"/>
      <c r="E15" s="239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</row>
    <row r="16" spans="1:37" s="65" customFormat="1" ht="4.5" customHeight="1" x14ac:dyDescent="0.3">
      <c r="A16" s="172"/>
      <c r="B16" s="177"/>
      <c r="C16" s="144"/>
      <c r="D16" s="178"/>
      <c r="E16" s="178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</row>
    <row r="17" spans="1:33" ht="30" customHeight="1" x14ac:dyDescent="0.3">
      <c r="B17" s="233" t="s">
        <v>131</v>
      </c>
      <c r="C17" s="233"/>
      <c r="D17" s="233"/>
      <c r="E17" s="233"/>
      <c r="G17" s="144"/>
      <c r="V17" s="67"/>
      <c r="W17" s="67"/>
      <c r="X17" s="67"/>
      <c r="Y17" s="67"/>
      <c r="Z17" s="71"/>
      <c r="AA17" s="72"/>
      <c r="AB17" s="73"/>
      <c r="AC17" s="74"/>
      <c r="AG17" s="75"/>
    </row>
    <row r="18" spans="1:33" ht="21.75" customHeight="1" x14ac:dyDescent="0.3">
      <c r="B18" s="70"/>
      <c r="C18" s="69"/>
      <c r="D18" s="76"/>
      <c r="G18" s="115"/>
      <c r="V18" s="67"/>
      <c r="W18" s="67"/>
      <c r="X18" s="67"/>
      <c r="Y18" s="67"/>
      <c r="Z18" s="71"/>
      <c r="AA18" s="72"/>
      <c r="AB18" s="73"/>
      <c r="AC18" s="74"/>
      <c r="AG18" s="75"/>
    </row>
    <row r="19" spans="1:33" ht="21.75" customHeight="1" x14ac:dyDescent="0.3">
      <c r="B19" s="68"/>
      <c r="C19" s="69"/>
      <c r="D19" s="68"/>
      <c r="V19" s="67"/>
      <c r="W19" s="67"/>
      <c r="X19" s="67"/>
      <c r="Y19" s="67"/>
      <c r="Z19" s="71"/>
      <c r="AA19" s="77"/>
      <c r="AB19" s="73"/>
      <c r="AC19" s="74"/>
    </row>
    <row r="20" spans="1:33" ht="21.75" customHeight="1" x14ac:dyDescent="0.3">
      <c r="B20" s="70"/>
      <c r="C20" s="69"/>
      <c r="D20" s="78"/>
      <c r="V20" s="67"/>
      <c r="W20" s="67"/>
      <c r="X20" s="67"/>
      <c r="Y20" s="67"/>
      <c r="Z20" s="71"/>
      <c r="AA20" s="79"/>
      <c r="AB20" s="73"/>
      <c r="AC20" s="74"/>
    </row>
    <row r="21" spans="1:33" ht="21.75" customHeight="1" x14ac:dyDescent="0.3">
      <c r="A21" s="82"/>
      <c r="B21" s="151"/>
      <c r="C21" s="100"/>
      <c r="D21" s="151"/>
      <c r="E21" s="82"/>
      <c r="V21" s="67"/>
      <c r="W21" s="67"/>
      <c r="X21" s="67"/>
      <c r="Y21" s="67"/>
      <c r="Z21" s="71"/>
      <c r="AA21" s="79"/>
      <c r="AB21" s="73"/>
      <c r="AC21" s="74"/>
    </row>
    <row r="22" spans="1:33" ht="18.75" customHeight="1" x14ac:dyDescent="0.3">
      <c r="A22" s="82"/>
      <c r="B22" s="152"/>
      <c r="C22" s="100"/>
      <c r="D22" s="153"/>
      <c r="E22" s="82"/>
      <c r="V22" s="67"/>
      <c r="W22" s="67"/>
      <c r="X22" s="67"/>
      <c r="Y22" s="67"/>
      <c r="Z22" s="71"/>
      <c r="AA22" s="79"/>
      <c r="AB22" s="73"/>
      <c r="AC22" s="74"/>
      <c r="AD22" s="80"/>
      <c r="AF22" s="75"/>
    </row>
    <row r="23" spans="1:33" ht="18.75" customHeight="1" x14ac:dyDescent="0.3">
      <c r="A23" s="133" t="s">
        <v>87</v>
      </c>
      <c r="B23" s="162" t="str">
        <f>IF(E5=0, "- Täytä solu Rakennusten peittopinta-alasta Tontin tietojen välilehdellä.","")</f>
        <v>- Täytä solu Rakennusten peittopinta-alasta Tontin tietojen välilehdellä.</v>
      </c>
      <c r="C23" s="199"/>
      <c r="D23" s="162"/>
      <c r="E23" s="133"/>
      <c r="F23" s="133"/>
      <c r="G23" s="133"/>
      <c r="V23" s="67"/>
      <c r="W23" s="67"/>
      <c r="X23" s="67"/>
      <c r="Y23" s="67"/>
      <c r="Z23" s="71"/>
      <c r="AA23" s="79"/>
      <c r="AB23" s="73"/>
      <c r="AC23" s="74"/>
      <c r="AD23" s="80"/>
      <c r="AF23" s="75"/>
    </row>
    <row r="24" spans="1:33" ht="18.75" customHeight="1" x14ac:dyDescent="0.3">
      <c r="A24" s="133" t="s">
        <v>88</v>
      </c>
      <c r="B24" s="162" t="str">
        <f>IF(D5=0, "- Täytä solu Tontin alasta Tontin tietojen välilehdellä.","")</f>
        <v>- Täytä solu Tontin alasta Tontin tietojen välilehdellä.</v>
      </c>
      <c r="C24" s="199"/>
      <c r="D24" s="162"/>
      <c r="E24" s="133"/>
      <c r="F24" s="133"/>
      <c r="G24" s="133"/>
      <c r="Z24" s="71"/>
      <c r="AA24" s="79"/>
      <c r="AB24" s="73"/>
      <c r="AC24" s="74"/>
    </row>
    <row r="25" spans="1:33" ht="18.75" customHeight="1" x14ac:dyDescent="0.3">
      <c r="A25" s="133" t="s">
        <v>130</v>
      </c>
      <c r="B25" s="162" t="str">
        <f>IF(C15=0, "- Tarkista, vaaditaanko tontilla läpäisevän pinta-alan vähimmäisosuus.","")</f>
        <v>- Tarkista, vaaditaanko tontilla läpäisevän pinta-alan vähimmäisosuus.</v>
      </c>
      <c r="C25" s="199"/>
      <c r="D25" s="162"/>
      <c r="E25" s="133"/>
      <c r="F25" s="133"/>
      <c r="G25" s="133"/>
      <c r="Z25" s="71"/>
      <c r="AA25" s="79"/>
      <c r="AB25" s="73"/>
      <c r="AC25" s="74"/>
    </row>
    <row r="26" spans="1:33" ht="18.75" customHeight="1" x14ac:dyDescent="0.3">
      <c r="A26" s="162" t="s">
        <v>65</v>
      </c>
      <c r="B26" s="162" t="str">
        <f>IF(B15=0, "- Huleveden viivytys noudatetaan ohjeellisena.","")</f>
        <v>- Huleveden viivytys noudatetaan ohjeellisena.</v>
      </c>
      <c r="C26" s="162"/>
      <c r="D26" s="162"/>
      <c r="E26" s="133"/>
      <c r="F26" s="133"/>
      <c r="G26" s="133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AE26" s="75"/>
    </row>
    <row r="27" spans="1:33" ht="18.75" customHeight="1" x14ac:dyDescent="0.3">
      <c r="A27" s="133" t="s">
        <v>33</v>
      </c>
      <c r="B27" s="162" t="str">
        <f>IF(D15=0, "- Tarkista, vaaditaanko tontilla viherkerrointa ja mikä on sen tavoitetaso.","")</f>
        <v>- Tarkista, vaaditaanko tontilla viherkerrointa ja mikä on sen tavoitetaso.</v>
      </c>
      <c r="C27" s="162"/>
      <c r="D27" s="133"/>
      <c r="E27" s="133"/>
      <c r="F27" s="133"/>
      <c r="G27" s="133"/>
      <c r="Y27" s="67"/>
      <c r="AD27" s="75"/>
    </row>
    <row r="28" spans="1:33" ht="18.75" customHeight="1" x14ac:dyDescent="0.3">
      <c r="A28" s="133"/>
      <c r="B28" s="162"/>
      <c r="C28" s="162"/>
      <c r="D28" s="133"/>
      <c r="E28" s="133"/>
      <c r="F28" s="133"/>
      <c r="G28" s="133"/>
      <c r="Y28" s="67"/>
      <c r="AD28" s="75"/>
    </row>
    <row r="29" spans="1:33" ht="18.75" customHeight="1" x14ac:dyDescent="0.3">
      <c r="A29" s="133"/>
      <c r="B29" s="200" t="str">
        <f>B23&amp;IF(B23&lt;&gt;"",CHAR(10),"")&amp;B24&amp;IF(B24&lt;&gt;"",CHAR(10),"")&amp;B25&amp;IF(B25&lt;&gt;"",CHAR(10),"")&amp;B26&amp;IF(B26&lt;&gt;"",CHAR(10),"")&amp;B27&amp;IF(B27&lt;&gt;"",CHAR(10),"")</f>
        <v xml:space="preserve">- Täytä solu Rakennusten peittopinta-alasta Tontin tietojen välilehdellä.
- Täytä solu Tontin alasta Tontin tietojen välilehdellä.
- Tarkista, vaaditaanko tontilla läpäisevän pinta-alan vähimmäisosuus.
- Huleveden viivytys noudatetaan ohjeellisena.
- Tarkista, vaaditaanko tontilla viherkerrointa ja mikä on sen tavoitetaso.
</v>
      </c>
      <c r="C29" s="200"/>
      <c r="D29" s="162"/>
      <c r="E29" s="133"/>
      <c r="F29" s="133"/>
      <c r="G29" s="133"/>
      <c r="AE29" s="75"/>
    </row>
    <row r="30" spans="1:33" ht="18.75" customHeight="1" x14ac:dyDescent="0.3">
      <c r="A30" s="133"/>
      <c r="B30" s="201"/>
      <c r="C30" s="162"/>
      <c r="D30" s="162"/>
      <c r="E30" s="133"/>
      <c r="F30" s="133"/>
      <c r="G30" s="133"/>
      <c r="AE30" s="75"/>
    </row>
    <row r="31" spans="1:33" ht="18.75" customHeight="1" x14ac:dyDescent="0.3">
      <c r="A31" s="133"/>
      <c r="B31" s="201"/>
      <c r="C31" s="162"/>
      <c r="D31" s="162"/>
      <c r="E31" s="133"/>
      <c r="F31" s="133"/>
      <c r="G31" s="133"/>
      <c r="AE31" s="75"/>
    </row>
    <row r="32" spans="1:33" ht="18.75" customHeight="1" x14ac:dyDescent="0.3">
      <c r="A32" s="133"/>
      <c r="B32" s="201"/>
      <c r="C32" s="162"/>
      <c r="D32" s="133"/>
      <c r="E32" s="133"/>
      <c r="F32" s="133"/>
      <c r="G32" s="133"/>
      <c r="AE32" s="75"/>
    </row>
    <row r="33" spans="1:31" ht="18.75" customHeight="1" x14ac:dyDescent="0.3">
      <c r="A33" s="133"/>
      <c r="B33" s="201"/>
      <c r="C33" s="162"/>
      <c r="D33" s="133"/>
      <c r="E33" s="133"/>
      <c r="F33" s="133"/>
      <c r="G33" s="133"/>
      <c r="AE33" s="75"/>
    </row>
    <row r="34" spans="1:31" ht="18.75" customHeight="1" x14ac:dyDescent="0.3">
      <c r="A34" s="133"/>
      <c r="B34" s="201"/>
      <c r="C34" s="162"/>
      <c r="D34" s="162"/>
      <c r="E34" s="133"/>
      <c r="F34" s="133"/>
      <c r="G34" s="133"/>
      <c r="AE34" s="75"/>
    </row>
    <row r="35" spans="1:31" ht="18.75" customHeight="1" x14ac:dyDescent="0.3">
      <c r="A35" s="133"/>
      <c r="B35" s="201"/>
      <c r="C35" s="162"/>
      <c r="D35" s="162"/>
      <c r="E35" s="133"/>
      <c r="F35" s="133"/>
      <c r="G35" s="133"/>
      <c r="AE35" s="75"/>
    </row>
    <row r="36" spans="1:31" ht="18.75" customHeight="1" x14ac:dyDescent="0.3">
      <c r="A36" s="133"/>
      <c r="B36" s="201"/>
      <c r="C36" s="162"/>
      <c r="D36" s="162"/>
      <c r="E36" s="133"/>
      <c r="F36" s="133"/>
      <c r="G36" s="133"/>
      <c r="AE36" s="75"/>
    </row>
    <row r="37" spans="1:31" ht="18.75" customHeight="1" x14ac:dyDescent="0.3">
      <c r="A37" s="133"/>
      <c r="B37" s="201"/>
      <c r="C37" s="162"/>
      <c r="D37" s="162"/>
      <c r="E37" s="133"/>
      <c r="F37" s="133"/>
      <c r="G37" s="133"/>
      <c r="AE37" s="75"/>
    </row>
    <row r="38" spans="1:31" ht="18.75" customHeight="1" x14ac:dyDescent="0.3">
      <c r="A38" s="133"/>
      <c r="B38" s="201"/>
      <c r="C38" s="162"/>
      <c r="D38" s="162"/>
      <c r="E38" s="133"/>
      <c r="F38" s="133"/>
      <c r="G38" s="133"/>
      <c r="AE38" s="75"/>
    </row>
    <row r="39" spans="1:31" ht="18.75" customHeight="1" x14ac:dyDescent="0.3">
      <c r="A39" s="133"/>
      <c r="B39" s="201"/>
      <c r="C39" s="162"/>
      <c r="D39" s="162"/>
      <c r="E39" s="133"/>
      <c r="F39" s="133"/>
      <c r="G39" s="133"/>
      <c r="AE39" s="75"/>
    </row>
    <row r="40" spans="1:31" ht="18.75" customHeight="1" x14ac:dyDescent="0.3">
      <c r="A40" s="133"/>
      <c r="B40" s="201"/>
      <c r="C40" s="162"/>
      <c r="D40" s="162"/>
      <c r="E40" s="133"/>
      <c r="F40" s="133"/>
      <c r="G40" s="133"/>
      <c r="AE40" s="75"/>
    </row>
    <row r="41" spans="1:31" ht="18.75" customHeight="1" x14ac:dyDescent="0.3">
      <c r="A41" s="82"/>
      <c r="B41" s="154"/>
      <c r="C41" s="99"/>
      <c r="D41" s="99"/>
      <c r="E41" s="82"/>
      <c r="AE41" s="75"/>
    </row>
    <row r="42" spans="1:31" ht="18.75" customHeight="1" x14ac:dyDescent="0.3">
      <c r="A42" s="82"/>
      <c r="B42" s="154"/>
      <c r="C42" s="99"/>
      <c r="D42" s="99"/>
      <c r="E42" s="82"/>
      <c r="AE42" s="75"/>
    </row>
    <row r="43" spans="1:31" ht="18.75" customHeight="1" x14ac:dyDescent="0.3">
      <c r="A43" s="82"/>
      <c r="B43" s="154"/>
      <c r="C43" s="155"/>
      <c r="D43" s="99"/>
      <c r="E43" s="82"/>
      <c r="AE43" s="75"/>
    </row>
    <row r="44" spans="1:31" x14ac:dyDescent="0.3">
      <c r="A44" s="82"/>
      <c r="B44" s="156"/>
      <c r="C44" s="157"/>
      <c r="D44" s="99"/>
      <c r="E44" s="82"/>
      <c r="O44" s="145"/>
      <c r="P44" s="80"/>
      <c r="Q44" s="80"/>
      <c r="R44" s="80"/>
      <c r="S44" s="80"/>
      <c r="V44" s="145"/>
      <c r="W44" s="145"/>
      <c r="X44" s="145"/>
    </row>
    <row r="45" spans="1:31" x14ac:dyDescent="0.3">
      <c r="A45" s="82"/>
      <c r="B45" s="156"/>
      <c r="C45" s="157"/>
      <c r="D45" s="99"/>
      <c r="E45" s="82"/>
      <c r="O45" s="147"/>
      <c r="P45" s="74"/>
      <c r="Q45" s="74"/>
      <c r="R45" s="74"/>
      <c r="S45" s="74"/>
      <c r="V45" s="147"/>
      <c r="W45" s="147"/>
      <c r="X45" s="147"/>
    </row>
    <row r="46" spans="1:31" x14ac:dyDescent="0.3">
      <c r="A46" s="82"/>
      <c r="B46" s="156"/>
      <c r="C46" s="157"/>
      <c r="D46" s="99"/>
      <c r="E46" s="82"/>
      <c r="O46" s="79"/>
      <c r="P46" s="74"/>
      <c r="Q46" s="74"/>
      <c r="R46" s="74"/>
      <c r="S46" s="74"/>
      <c r="V46" s="79"/>
      <c r="W46" s="79"/>
      <c r="X46" s="79"/>
    </row>
    <row r="47" spans="1:31" ht="18.75" customHeight="1" x14ac:dyDescent="0.3">
      <c r="A47" s="82"/>
      <c r="B47" s="156"/>
      <c r="C47" s="157"/>
      <c r="D47" s="99"/>
      <c r="E47" s="82"/>
      <c r="O47" s="148"/>
      <c r="P47" s="74"/>
      <c r="Q47" s="74"/>
      <c r="R47" s="74"/>
      <c r="S47" s="74"/>
      <c r="V47" s="148"/>
      <c r="W47" s="148"/>
      <c r="X47" s="148"/>
    </row>
    <row r="48" spans="1:31" ht="17.25" customHeight="1" x14ac:dyDescent="0.3">
      <c r="A48" s="82"/>
      <c r="B48" s="156"/>
      <c r="C48" s="157"/>
      <c r="D48" s="155"/>
      <c r="E48" s="82"/>
      <c r="O48" s="148"/>
      <c r="V48" s="146"/>
      <c r="W48" s="146"/>
      <c r="X48" s="146"/>
      <c r="Y48" s="146"/>
      <c r="Z48" s="74"/>
      <c r="AA48" s="74"/>
      <c r="AB48" s="74"/>
      <c r="AC48" s="74"/>
    </row>
    <row r="49" spans="1:31" x14ac:dyDescent="0.3">
      <c r="A49" s="82"/>
      <c r="B49" s="156"/>
      <c r="C49" s="157"/>
      <c r="D49" s="157"/>
      <c r="E49" s="82"/>
      <c r="V49" s="146"/>
      <c r="W49" s="146"/>
      <c r="X49" s="146"/>
      <c r="Y49" s="146"/>
      <c r="Z49" s="74"/>
      <c r="AA49" s="74"/>
      <c r="AB49" s="74"/>
      <c r="AC49" s="74"/>
    </row>
    <row r="50" spans="1:31" x14ac:dyDescent="0.3">
      <c r="A50" s="82"/>
      <c r="B50" s="156"/>
      <c r="C50" s="157"/>
      <c r="D50" s="157"/>
      <c r="E50" s="82"/>
      <c r="V50" s="146"/>
      <c r="W50" s="146"/>
      <c r="X50" s="146"/>
      <c r="Y50" s="146"/>
      <c r="Z50" s="74"/>
      <c r="AA50" s="74"/>
      <c r="AB50" s="74"/>
      <c r="AC50" s="74"/>
    </row>
    <row r="51" spans="1:31" x14ac:dyDescent="0.3">
      <c r="A51" s="82"/>
      <c r="B51" s="156"/>
      <c r="C51" s="157"/>
      <c r="D51" s="157"/>
      <c r="E51" s="82"/>
      <c r="V51" s="146"/>
      <c r="W51" s="146"/>
      <c r="X51" s="146"/>
      <c r="Y51" s="146"/>
      <c r="Z51" s="74"/>
      <c r="AA51" s="74"/>
      <c r="AB51" s="74"/>
      <c r="AC51" s="74"/>
    </row>
    <row r="52" spans="1:31" ht="18.75" customHeight="1" x14ac:dyDescent="0.3">
      <c r="A52" s="82"/>
      <c r="B52" s="156"/>
      <c r="C52" s="157"/>
      <c r="D52" s="157"/>
      <c r="E52" s="82"/>
      <c r="V52" s="146"/>
      <c r="W52" s="146"/>
      <c r="X52" s="146"/>
      <c r="Y52" s="146"/>
      <c r="Z52" s="74"/>
      <c r="AA52" s="74"/>
      <c r="AB52" s="74"/>
      <c r="AC52" s="74"/>
      <c r="AE52" s="75"/>
    </row>
    <row r="53" spans="1:31" x14ac:dyDescent="0.3">
      <c r="A53" s="82"/>
      <c r="B53" s="156"/>
      <c r="C53" s="157"/>
      <c r="D53" s="157"/>
      <c r="E53" s="82"/>
      <c r="V53" s="146"/>
      <c r="W53" s="146"/>
      <c r="X53" s="146"/>
      <c r="Y53" s="146"/>
      <c r="Z53" s="74"/>
      <c r="AA53" s="74"/>
      <c r="AB53" s="74"/>
      <c r="AC53" s="74"/>
    </row>
    <row r="54" spans="1:31" x14ac:dyDescent="0.3">
      <c r="A54" s="82"/>
      <c r="B54" s="99"/>
      <c r="C54" s="157"/>
      <c r="D54" s="157"/>
      <c r="E54" s="82"/>
      <c r="V54" s="146"/>
      <c r="W54" s="146"/>
      <c r="X54" s="146"/>
      <c r="Y54" s="146"/>
      <c r="Z54" s="74"/>
      <c r="AA54" s="74"/>
      <c r="AB54" s="74"/>
      <c r="AC54" s="74"/>
    </row>
    <row r="55" spans="1:31" x14ac:dyDescent="0.3">
      <c r="A55" s="82"/>
      <c r="B55" s="157"/>
      <c r="C55" s="157"/>
      <c r="D55" s="157"/>
      <c r="E55" s="82"/>
      <c r="V55" s="146"/>
      <c r="W55" s="146"/>
      <c r="X55" s="146"/>
      <c r="Y55" s="146"/>
      <c r="Z55" s="74"/>
      <c r="AA55" s="74"/>
      <c r="AB55" s="74"/>
      <c r="AC55" s="74"/>
    </row>
    <row r="56" spans="1:31" x14ac:dyDescent="0.3">
      <c r="A56" s="82"/>
      <c r="B56" s="157"/>
      <c r="C56" s="82"/>
      <c r="D56" s="157"/>
      <c r="E56" s="82"/>
      <c r="V56" s="146"/>
      <c r="W56" s="146"/>
      <c r="X56" s="146"/>
      <c r="Y56" s="146"/>
      <c r="Z56" s="74"/>
      <c r="AA56" s="74"/>
      <c r="AB56" s="74"/>
      <c r="AC56" s="74"/>
    </row>
    <row r="57" spans="1:31" x14ac:dyDescent="0.3">
      <c r="A57" s="82"/>
      <c r="B57" s="82"/>
      <c r="C57" s="82"/>
      <c r="D57" s="157"/>
      <c r="E57" s="82"/>
    </row>
    <row r="58" spans="1:31" x14ac:dyDescent="0.3">
      <c r="A58" s="82"/>
      <c r="B58" s="82"/>
      <c r="C58" s="82"/>
      <c r="D58" s="157"/>
      <c r="E58" s="82"/>
    </row>
    <row r="59" spans="1:31" x14ac:dyDescent="0.3">
      <c r="A59" s="82"/>
      <c r="B59" s="82"/>
      <c r="C59" s="82"/>
      <c r="D59" s="157"/>
      <c r="E59" s="82"/>
    </row>
    <row r="60" spans="1:31" x14ac:dyDescent="0.3">
      <c r="D60" s="146"/>
    </row>
  </sheetData>
  <sheetProtection algorithmName="SHA-512" hashValue="Wk3zBeRBQ8JLJNnIc9nRmuNeu2Dg8wlgcBFFGdvA08TzD35ixzMxkbErH3vv1MD+cyizlxoVWTG4f4bI/w1uoA==" saltValue="tgmzcRGslQyp12+Acb149g==" spinCount="100000" sheet="1" formatCells="0" formatColumns="0" formatRows="0" insertColumns="0" insertRows="0" insertHyperlinks="0" deleteColumns="0" deleteRows="0" sort="0" autoFilter="0" pivotTables="0"/>
  <mergeCells count="17">
    <mergeCell ref="Z11:AA11"/>
    <mergeCell ref="B6:E6"/>
    <mergeCell ref="A1:B1"/>
    <mergeCell ref="A4:A7"/>
    <mergeCell ref="A9:A12"/>
    <mergeCell ref="B12:C12"/>
    <mergeCell ref="B7:E7"/>
    <mergeCell ref="D11:E11"/>
    <mergeCell ref="D12:E12"/>
    <mergeCell ref="B10:E10"/>
    <mergeCell ref="B9:E9"/>
    <mergeCell ref="D2:E2"/>
    <mergeCell ref="B17:E17"/>
    <mergeCell ref="A14:A15"/>
    <mergeCell ref="D14:E14"/>
    <mergeCell ref="D15:E15"/>
    <mergeCell ref="G4:G7"/>
  </mergeCells>
  <conditionalFormatting sqref="D5">
    <cfRule type="cellIs" dxfId="30" priority="4" operator="equal">
      <formula>0</formula>
    </cfRule>
  </conditionalFormatting>
  <conditionalFormatting sqref="E5">
    <cfRule type="cellIs" dxfId="29" priority="1" operator="equal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59999389629810485"/>
  </sheetPr>
  <dimension ref="A1:U80"/>
  <sheetViews>
    <sheetView showGridLines="0" zoomScale="70" zoomScaleNormal="70" workbookViewId="0">
      <pane xSplit="5" ySplit="1" topLeftCell="F2" activePane="bottomRight" state="frozen"/>
      <selection activeCell="A19" sqref="A19"/>
      <selection pane="topRight" activeCell="A19" sqref="A19"/>
      <selection pane="bottomLeft" activeCell="A19" sqref="A19"/>
      <selection pane="bottomRight" activeCell="I2" sqref="I2"/>
    </sheetView>
  </sheetViews>
  <sheetFormatPr defaultColWidth="9.33203125" defaultRowHeight="14.4" x14ac:dyDescent="0.3"/>
  <cols>
    <col min="1" max="1" width="15.6640625" style="10" customWidth="1"/>
    <col min="2" max="2" width="5.6640625" style="10" customWidth="1"/>
    <col min="3" max="3" width="15.6640625" style="10" customWidth="1"/>
    <col min="4" max="4" width="5.6640625" style="10" customWidth="1"/>
    <col min="5" max="5" width="3.5546875" style="10" customWidth="1"/>
    <col min="6" max="6" width="18.6640625" style="10" customWidth="1"/>
    <col min="7" max="7" width="115.5546875" style="10" customWidth="1"/>
    <col min="8" max="8" width="10.33203125" style="10" customWidth="1"/>
    <col min="9" max="9" width="15.6640625" style="10" customWidth="1"/>
    <col min="10" max="10" width="16.44140625" style="10" customWidth="1"/>
    <col min="11" max="11" width="14.6640625" style="10" customWidth="1"/>
    <col min="12" max="12" width="14.44140625" style="10" hidden="1" customWidth="1"/>
    <col min="13" max="13" width="17.5546875" style="10" hidden="1" customWidth="1"/>
    <col min="14" max="14" width="15" style="10" customWidth="1"/>
    <col min="15" max="15" width="16" style="10" hidden="1" customWidth="1"/>
    <col min="16" max="16" width="35.5546875" style="10" customWidth="1"/>
    <col min="17" max="16384" width="9.33203125" style="10"/>
  </cols>
  <sheetData>
    <row r="1" spans="1:20" ht="54.75" customHeight="1" thickBot="1" x14ac:dyDescent="0.35">
      <c r="A1" s="289"/>
      <c r="B1" s="289"/>
      <c r="C1" s="289"/>
      <c r="D1" s="289"/>
      <c r="E1" s="289"/>
      <c r="F1" s="31" t="s">
        <v>35</v>
      </c>
      <c r="G1" s="83" t="s">
        <v>36</v>
      </c>
      <c r="H1" s="31" t="s">
        <v>37</v>
      </c>
      <c r="I1" s="84" t="s">
        <v>63</v>
      </c>
      <c r="J1" s="31" t="s">
        <v>105</v>
      </c>
      <c r="K1" s="31" t="s">
        <v>38</v>
      </c>
      <c r="L1" s="223" t="s">
        <v>0</v>
      </c>
      <c r="M1" s="32" t="s">
        <v>16</v>
      </c>
      <c r="N1" s="33" t="s">
        <v>62</v>
      </c>
      <c r="O1" s="34" t="s">
        <v>17</v>
      </c>
    </row>
    <row r="2" spans="1:20" ht="19.95" customHeight="1" x14ac:dyDescent="0.3">
      <c r="A2" s="284" t="s">
        <v>125</v>
      </c>
      <c r="B2" s="284"/>
      <c r="C2" s="284"/>
      <c r="D2" s="284"/>
      <c r="E2" s="120"/>
      <c r="F2" s="267" t="s">
        <v>40</v>
      </c>
      <c r="G2" s="23" t="s">
        <v>112</v>
      </c>
      <c r="H2" s="85" t="s">
        <v>39</v>
      </c>
      <c r="I2" s="1"/>
      <c r="J2" s="35">
        <v>3.5</v>
      </c>
      <c r="K2" s="36">
        <f>I2*25*J2</f>
        <v>0</v>
      </c>
      <c r="L2" s="37"/>
      <c r="M2" s="38" t="e">
        <f>L2/C45</f>
        <v>#DIV/0!</v>
      </c>
      <c r="N2" s="39"/>
      <c r="O2" s="40" t="e">
        <f>M2*N2</f>
        <v>#DIV/0!</v>
      </c>
    </row>
    <row r="3" spans="1:20" ht="16.5" customHeight="1" x14ac:dyDescent="0.3">
      <c r="A3" s="284"/>
      <c r="B3" s="284"/>
      <c r="C3" s="284"/>
      <c r="D3" s="284"/>
      <c r="E3" s="120"/>
      <c r="F3" s="280"/>
      <c r="G3" s="24" t="s">
        <v>114</v>
      </c>
      <c r="H3" s="29" t="s">
        <v>39</v>
      </c>
      <c r="I3" s="4"/>
      <c r="J3" s="41">
        <v>3</v>
      </c>
      <c r="K3" s="42">
        <f>I3*15*J3</f>
        <v>0</v>
      </c>
      <c r="L3" s="43"/>
      <c r="M3" s="44" t="e">
        <f t="shared" ref="M3:M21" si="0">L3/$C$45</f>
        <v>#DIV/0!</v>
      </c>
      <c r="N3" s="45"/>
      <c r="O3" s="46" t="e">
        <f t="shared" ref="O3:O22" si="1">M3*N3</f>
        <v>#DIV/0!</v>
      </c>
    </row>
    <row r="4" spans="1:20" ht="20.7" customHeight="1" x14ac:dyDescent="0.3">
      <c r="A4" s="284"/>
      <c r="B4" s="284"/>
      <c r="C4" s="284"/>
      <c r="D4" s="284"/>
      <c r="E4" s="120"/>
      <c r="F4" s="280"/>
      <c r="G4" s="25" t="s">
        <v>113</v>
      </c>
      <c r="H4" s="29" t="s">
        <v>39</v>
      </c>
      <c r="I4" s="2"/>
      <c r="J4" s="41">
        <v>2.4</v>
      </c>
      <c r="K4" s="42">
        <f>I4*3*J4</f>
        <v>0</v>
      </c>
      <c r="L4" s="43"/>
      <c r="M4" s="44" t="e">
        <f t="shared" si="0"/>
        <v>#DIV/0!</v>
      </c>
      <c r="N4" s="45"/>
      <c r="O4" s="46" t="e">
        <f t="shared" si="1"/>
        <v>#DIV/0!</v>
      </c>
      <c r="P4" s="8"/>
      <c r="R4" s="8"/>
      <c r="S4" s="8"/>
      <c r="T4" s="8"/>
    </row>
    <row r="5" spans="1:20" ht="16.5" customHeight="1" x14ac:dyDescent="0.3">
      <c r="A5" s="287" t="s">
        <v>71</v>
      </c>
      <c r="B5" s="287"/>
      <c r="C5" s="287" t="s">
        <v>69</v>
      </c>
      <c r="D5" s="287"/>
      <c r="E5" s="19"/>
      <c r="F5" s="280"/>
      <c r="G5" s="25" t="s">
        <v>43</v>
      </c>
      <c r="H5" s="29" t="s">
        <v>1</v>
      </c>
      <c r="I5" s="4"/>
      <c r="J5" s="41">
        <v>2.2000000000000002</v>
      </c>
      <c r="K5" s="42">
        <f>I5*J5</f>
        <v>0</v>
      </c>
      <c r="L5" s="43">
        <f>I5</f>
        <v>0</v>
      </c>
      <c r="M5" s="44" t="e">
        <f t="shared" si="0"/>
        <v>#DIV/0!</v>
      </c>
      <c r="N5" s="45">
        <v>0.1</v>
      </c>
      <c r="O5" s="46" t="e">
        <f t="shared" si="1"/>
        <v>#DIV/0!</v>
      </c>
      <c r="P5" s="8"/>
      <c r="R5" s="8"/>
      <c r="S5" s="8"/>
      <c r="T5" s="8"/>
    </row>
    <row r="6" spans="1:20" ht="16.5" customHeight="1" thickBot="1" x14ac:dyDescent="0.35">
      <c r="A6" s="288"/>
      <c r="B6" s="288"/>
      <c r="C6" s="288"/>
      <c r="D6" s="288"/>
      <c r="E6" s="19"/>
      <c r="F6" s="280"/>
      <c r="G6" s="27" t="s">
        <v>44</v>
      </c>
      <c r="H6" s="30" t="s">
        <v>1</v>
      </c>
      <c r="I6" s="179"/>
      <c r="J6" s="47">
        <v>1.9</v>
      </c>
      <c r="K6" s="48">
        <f>I6*J6</f>
        <v>0</v>
      </c>
      <c r="L6" s="49">
        <f>I6</f>
        <v>0</v>
      </c>
      <c r="M6" s="50" t="e">
        <f t="shared" si="0"/>
        <v>#DIV/0!</v>
      </c>
      <c r="N6" s="51">
        <v>0.7</v>
      </c>
      <c r="O6" s="52" t="e">
        <f t="shared" si="1"/>
        <v>#DIV/0!</v>
      </c>
      <c r="P6" s="8"/>
      <c r="R6" s="8"/>
      <c r="S6" s="8"/>
      <c r="T6" s="8"/>
    </row>
    <row r="7" spans="1:20" ht="16.5" customHeight="1" x14ac:dyDescent="0.3">
      <c r="A7" s="308" t="s">
        <v>33</v>
      </c>
      <c r="B7" s="309"/>
      <c r="C7" s="310"/>
      <c r="D7" s="311"/>
      <c r="F7" s="267" t="s">
        <v>41</v>
      </c>
      <c r="G7" s="23" t="s">
        <v>45</v>
      </c>
      <c r="H7" s="85" t="s">
        <v>39</v>
      </c>
      <c r="I7" s="180"/>
      <c r="J7" s="35">
        <v>2.8</v>
      </c>
      <c r="K7" s="53">
        <f>I7*25*J7</f>
        <v>0</v>
      </c>
      <c r="L7" s="54"/>
      <c r="M7" s="44" t="e">
        <f t="shared" si="0"/>
        <v>#DIV/0!</v>
      </c>
      <c r="N7" s="45"/>
      <c r="O7" s="40" t="e">
        <f>M7*N7</f>
        <v>#DIV/0!</v>
      </c>
      <c r="P7" s="8"/>
      <c r="R7" s="8"/>
      <c r="S7" s="8"/>
      <c r="T7" s="8"/>
    </row>
    <row r="8" spans="1:20" ht="16.5" customHeight="1" x14ac:dyDescent="0.3">
      <c r="A8" s="306">
        <f>'Tontin tiedot'!$D$15</f>
        <v>0</v>
      </c>
      <c r="B8" s="307"/>
      <c r="C8" s="300" t="str">
        <f>IF('Tontin tiedot'!$D$5=0,"Tontin ala 0!",$C$41/'Tontin tiedot'!$D$5)</f>
        <v>Tontin ala 0!</v>
      </c>
      <c r="D8" s="301"/>
      <c r="F8" s="280"/>
      <c r="G8" s="25" t="s">
        <v>46</v>
      </c>
      <c r="H8" s="29" t="s">
        <v>39</v>
      </c>
      <c r="I8" s="2"/>
      <c r="J8" s="41">
        <v>2.2999999999999998</v>
      </c>
      <c r="K8" s="55">
        <f>I8*15*J8</f>
        <v>0</v>
      </c>
      <c r="L8" s="56"/>
      <c r="M8" s="44" t="e">
        <f t="shared" si="0"/>
        <v>#DIV/0!</v>
      </c>
      <c r="N8" s="45"/>
      <c r="O8" s="46" t="e">
        <f t="shared" si="1"/>
        <v>#DIV/0!</v>
      </c>
      <c r="P8" s="8"/>
      <c r="R8" s="8"/>
      <c r="S8" s="8"/>
      <c r="T8" s="8"/>
    </row>
    <row r="9" spans="1:20" ht="16.5" customHeight="1" x14ac:dyDescent="0.3">
      <c r="F9" s="280"/>
      <c r="G9" s="25" t="s">
        <v>123</v>
      </c>
      <c r="H9" s="29" t="s">
        <v>39</v>
      </c>
      <c r="I9" s="211"/>
      <c r="J9" s="41">
        <v>1.3</v>
      </c>
      <c r="K9" s="55">
        <f>I9*3*J9</f>
        <v>0</v>
      </c>
      <c r="L9" s="56"/>
      <c r="M9" s="44" t="e">
        <f t="shared" si="0"/>
        <v>#DIV/0!</v>
      </c>
      <c r="N9" s="45"/>
      <c r="O9" s="46" t="e">
        <f t="shared" si="1"/>
        <v>#DIV/0!</v>
      </c>
      <c r="P9" s="8"/>
      <c r="R9" s="8"/>
      <c r="S9" s="8"/>
      <c r="T9" s="8"/>
    </row>
    <row r="10" spans="1:20" ht="16.5" customHeight="1" x14ac:dyDescent="0.3">
      <c r="A10" s="297" t="s">
        <v>70</v>
      </c>
      <c r="B10" s="298"/>
      <c r="C10" s="298"/>
      <c r="D10" s="299"/>
      <c r="F10" s="280"/>
      <c r="G10" s="24" t="s">
        <v>47</v>
      </c>
      <c r="H10" s="29" t="s">
        <v>39</v>
      </c>
      <c r="I10" s="2"/>
      <c r="J10" s="41">
        <v>1.7</v>
      </c>
      <c r="K10" s="55">
        <f>I10*2*J10</f>
        <v>0</v>
      </c>
      <c r="L10" s="56"/>
      <c r="M10" s="44" t="e">
        <f t="shared" si="0"/>
        <v>#DIV/0!</v>
      </c>
      <c r="N10" s="45"/>
      <c r="O10" s="46" t="e">
        <f t="shared" si="1"/>
        <v>#DIV/0!</v>
      </c>
      <c r="P10" s="8"/>
      <c r="R10" s="8"/>
      <c r="S10" s="8"/>
      <c r="T10" s="8"/>
    </row>
    <row r="11" spans="1:20" ht="16.5" customHeight="1" x14ac:dyDescent="0.3">
      <c r="A11" s="304" t="str">
        <f>IF('Tontin tiedot'!$D$5=0,"Tontin ala 0!",IF('Tontin tiedot'!$C$15=0,('Tontin tiedot'!$D$5)/(5*'Tontin tiedot'!$D$5),'Tontin tiedot'!$C$15))</f>
        <v>Tontin ala 0!</v>
      </c>
      <c r="B11" s="305"/>
      <c r="C11" s="302" t="str">
        <f>IF('Tontin tiedot'!$D$5=0,"Tontin ala 0!",(SUM($I$5:$I$6)+(SUM(I11:I18)+I21+($I$20/2)))/'Tontin tiedot'!$D$5)</f>
        <v>Tontin ala 0!</v>
      </c>
      <c r="D11" s="303"/>
      <c r="F11" s="280"/>
      <c r="G11" s="25" t="s">
        <v>48</v>
      </c>
      <c r="H11" s="29" t="s">
        <v>1</v>
      </c>
      <c r="I11" s="4"/>
      <c r="J11" s="41">
        <v>1.4</v>
      </c>
      <c r="K11" s="55">
        <f>I11*J11</f>
        <v>0</v>
      </c>
      <c r="L11" s="56">
        <f>I11</f>
        <v>0</v>
      </c>
      <c r="M11" s="44" t="e">
        <f t="shared" si="0"/>
        <v>#DIV/0!</v>
      </c>
      <c r="N11" s="45">
        <v>0.15</v>
      </c>
      <c r="O11" s="46" t="e">
        <f t="shared" si="1"/>
        <v>#DIV/0!</v>
      </c>
      <c r="P11" s="8"/>
      <c r="R11" s="8"/>
      <c r="S11" s="8"/>
      <c r="T11" s="8"/>
    </row>
    <row r="12" spans="1:20" ht="16.5" customHeight="1" x14ac:dyDescent="0.3">
      <c r="A12" s="312" t="str">
        <f>IF('Tontin tiedot'!$D$5=0,"Tontin ala 0!",IF('Tontin tiedot'!$C$15=0,('Tontin tiedot'!$D$5)/5,'Tontin tiedot'!$D$5*$A$11))</f>
        <v>Tontin ala 0!</v>
      </c>
      <c r="B12" s="313"/>
      <c r="C12" s="314" t="str">
        <f>IF('Tontin tiedot'!$D$5=0,"Tontin ala 0!",(SUM($I$5:$I$6)+(SUM(I11:I18)+I21+($I$20/2))))</f>
        <v>Tontin ala 0!</v>
      </c>
      <c r="D12" s="315"/>
      <c r="F12" s="280"/>
      <c r="G12" s="25" t="s">
        <v>49</v>
      </c>
      <c r="H12" s="29" t="s">
        <v>2</v>
      </c>
      <c r="I12" s="2"/>
      <c r="J12" s="41">
        <v>1.5707465277777777</v>
      </c>
      <c r="K12" s="55">
        <f>I12*J12</f>
        <v>0</v>
      </c>
      <c r="L12" s="56">
        <f t="shared" ref="L12:L17" si="2">I12</f>
        <v>0</v>
      </c>
      <c r="M12" s="44" t="e">
        <f>L12/$C$45</f>
        <v>#DIV/0!</v>
      </c>
      <c r="N12" s="45">
        <v>0.2</v>
      </c>
      <c r="O12" s="46" t="e">
        <f t="shared" si="1"/>
        <v>#DIV/0!</v>
      </c>
      <c r="P12" s="8"/>
      <c r="R12" s="8"/>
      <c r="S12" s="8"/>
      <c r="T12" s="8"/>
    </row>
    <row r="13" spans="1:20" ht="16.5" customHeight="1" x14ac:dyDescent="0.3">
      <c r="A13" s="119"/>
      <c r="B13" s="119"/>
      <c r="C13" s="118"/>
      <c r="D13" s="118"/>
      <c r="F13" s="280"/>
      <c r="G13" s="25" t="s">
        <v>50</v>
      </c>
      <c r="H13" s="29" t="s">
        <v>3</v>
      </c>
      <c r="I13" s="4"/>
      <c r="J13" s="41">
        <v>1.8389756944444442</v>
      </c>
      <c r="K13" s="55">
        <f t="shared" ref="K13:K21" si="3">I13*J13</f>
        <v>0</v>
      </c>
      <c r="L13" s="56">
        <f t="shared" si="2"/>
        <v>0</v>
      </c>
      <c r="M13" s="44" t="e">
        <f t="shared" si="0"/>
        <v>#DIV/0!</v>
      </c>
      <c r="N13" s="45">
        <v>0.2</v>
      </c>
      <c r="O13" s="46" t="e">
        <f t="shared" si="1"/>
        <v>#DIV/0!</v>
      </c>
      <c r="P13" s="8"/>
      <c r="R13" s="8"/>
      <c r="S13" s="8"/>
      <c r="T13" s="8"/>
    </row>
    <row r="14" spans="1:20" ht="16.5" customHeight="1" x14ac:dyDescent="0.35">
      <c r="A14" s="290" t="s">
        <v>96</v>
      </c>
      <c r="B14" s="291"/>
      <c r="C14" s="291"/>
      <c r="D14" s="292"/>
      <c r="F14" s="280"/>
      <c r="G14" s="25" t="s">
        <v>51</v>
      </c>
      <c r="H14" s="29" t="s">
        <v>4</v>
      </c>
      <c r="I14" s="2"/>
      <c r="J14" s="41">
        <v>2</v>
      </c>
      <c r="K14" s="55">
        <f t="shared" si="3"/>
        <v>0</v>
      </c>
      <c r="L14" s="56">
        <f>I14</f>
        <v>0</v>
      </c>
      <c r="M14" s="44" t="e">
        <f t="shared" si="0"/>
        <v>#DIV/0!</v>
      </c>
      <c r="N14" s="45">
        <v>0.3</v>
      </c>
      <c r="O14" s="46" t="e">
        <f t="shared" si="1"/>
        <v>#DIV/0!</v>
      </c>
      <c r="P14" s="8"/>
    </row>
    <row r="15" spans="1:20" ht="16.5" customHeight="1" x14ac:dyDescent="0.3">
      <c r="A15" s="293" t="str">
        <f>IF('Tontin tiedot'!$D$5=0,"Tontin ala 0!",$I$26*'Tontin tiedot'!B15/100)</f>
        <v>Tontin ala 0!</v>
      </c>
      <c r="B15" s="294"/>
      <c r="C15" s="295" t="str">
        <f>IF('Tontin tiedot'!$D$5=0,"Tontin ala 0!",SUM($I$22:$I$24))</f>
        <v>Tontin ala 0!</v>
      </c>
      <c r="D15" s="296"/>
      <c r="F15" s="280"/>
      <c r="G15" s="88" t="s">
        <v>52</v>
      </c>
      <c r="H15" s="29" t="s">
        <v>5</v>
      </c>
      <c r="I15" s="4"/>
      <c r="J15" s="41">
        <v>1.0646701388888888</v>
      </c>
      <c r="K15" s="55">
        <f t="shared" si="3"/>
        <v>0</v>
      </c>
      <c r="L15" s="56">
        <f t="shared" si="2"/>
        <v>0</v>
      </c>
      <c r="M15" s="44" t="e">
        <f t="shared" si="0"/>
        <v>#DIV/0!</v>
      </c>
      <c r="N15" s="45">
        <v>0.25</v>
      </c>
      <c r="O15" s="46" t="e">
        <f>M15*N15</f>
        <v>#DIV/0!</v>
      </c>
      <c r="P15" s="8"/>
    </row>
    <row r="16" spans="1:20" ht="16.5" customHeight="1" x14ac:dyDescent="0.3">
      <c r="A16" s="270" t="s">
        <v>124</v>
      </c>
      <c r="B16" s="271"/>
      <c r="C16" s="274" t="str">
        <f>IF('Tontin tiedot'!$D$5=0,"Tontin ala 0!",SUM($O$2:$O$26))</f>
        <v>Tontin ala 0!</v>
      </c>
      <c r="D16" s="275"/>
      <c r="F16" s="280"/>
      <c r="G16" s="26" t="s">
        <v>119</v>
      </c>
      <c r="H16" s="29" t="s">
        <v>1</v>
      </c>
      <c r="I16" s="2"/>
      <c r="J16" s="41">
        <v>2</v>
      </c>
      <c r="K16" s="55">
        <f>I16*J16</f>
        <v>0</v>
      </c>
      <c r="L16" s="56">
        <f>I16</f>
        <v>0</v>
      </c>
      <c r="M16" s="44" t="e">
        <f t="shared" si="0"/>
        <v>#DIV/0!</v>
      </c>
      <c r="N16" s="45">
        <v>0.1</v>
      </c>
      <c r="O16" s="46" t="e">
        <f>M16*N16</f>
        <v>#DIV/0!</v>
      </c>
      <c r="P16" s="8"/>
    </row>
    <row r="17" spans="1:20" ht="25.2" customHeight="1" x14ac:dyDescent="0.3">
      <c r="A17" s="272"/>
      <c r="B17" s="273"/>
      <c r="C17" s="276"/>
      <c r="D17" s="277"/>
      <c r="F17" s="280"/>
      <c r="G17" s="26" t="s">
        <v>98</v>
      </c>
      <c r="H17" s="29" t="s">
        <v>6</v>
      </c>
      <c r="I17" s="4"/>
      <c r="J17" s="41">
        <v>1.5</v>
      </c>
      <c r="K17" s="55">
        <f t="shared" si="3"/>
        <v>0</v>
      </c>
      <c r="L17" s="56">
        <f t="shared" si="2"/>
        <v>0</v>
      </c>
      <c r="M17" s="44" t="e">
        <f t="shared" si="0"/>
        <v>#DIV/0!</v>
      </c>
      <c r="N17" s="45">
        <v>0.4</v>
      </c>
      <c r="O17" s="46" t="e">
        <f t="shared" si="1"/>
        <v>#DIV/0!</v>
      </c>
      <c r="P17" s="8"/>
    </row>
    <row r="18" spans="1:20" ht="18" customHeight="1" x14ac:dyDescent="0.3">
      <c r="A18" s="285"/>
      <c r="B18" s="285"/>
      <c r="C18" s="285"/>
      <c r="D18" s="285"/>
      <c r="F18" s="280"/>
      <c r="G18" s="26" t="s">
        <v>97</v>
      </c>
      <c r="H18" s="29" t="s">
        <v>7</v>
      </c>
      <c r="I18" s="2"/>
      <c r="J18" s="41">
        <v>1.4</v>
      </c>
      <c r="K18" s="55">
        <f t="shared" si="3"/>
        <v>0</v>
      </c>
      <c r="L18" s="56">
        <f>I18</f>
        <v>0</v>
      </c>
      <c r="M18" s="44" t="e">
        <f t="shared" si="0"/>
        <v>#DIV/0!</v>
      </c>
      <c r="N18" s="45">
        <v>0.6</v>
      </c>
      <c r="O18" s="46" t="e">
        <f>M18*N18</f>
        <v>#DIV/0!</v>
      </c>
      <c r="P18" s="8"/>
      <c r="R18" s="20"/>
    </row>
    <row r="19" spans="1:20" ht="16.5" customHeight="1" thickBot="1" x14ac:dyDescent="0.35">
      <c r="A19" s="286"/>
      <c r="B19" s="286"/>
      <c r="C19" s="286"/>
      <c r="D19" s="286"/>
      <c r="F19" s="281"/>
      <c r="G19" s="24" t="s">
        <v>53</v>
      </c>
      <c r="H19" s="30" t="s">
        <v>8</v>
      </c>
      <c r="I19" s="231"/>
      <c r="J19" s="47">
        <v>0.9</v>
      </c>
      <c r="K19" s="55">
        <f t="shared" si="3"/>
        <v>0</v>
      </c>
      <c r="L19" s="56"/>
      <c r="M19" s="44" t="e">
        <f t="shared" si="0"/>
        <v>#DIV/0!</v>
      </c>
      <c r="N19" s="45"/>
      <c r="O19" s="52" t="e">
        <f t="shared" si="1"/>
        <v>#DIV/0!</v>
      </c>
      <c r="P19" s="8"/>
    </row>
    <row r="20" spans="1:20" ht="16.5" customHeight="1" x14ac:dyDescent="0.3">
      <c r="A20" s="286"/>
      <c r="B20" s="286"/>
      <c r="C20" s="286"/>
      <c r="D20" s="286"/>
      <c r="F20" s="267" t="s">
        <v>42</v>
      </c>
      <c r="G20" s="23" t="s">
        <v>94</v>
      </c>
      <c r="H20" s="28" t="s">
        <v>9</v>
      </c>
      <c r="I20" s="1"/>
      <c r="J20" s="35">
        <v>0.96310763888888895</v>
      </c>
      <c r="K20" s="36">
        <f>I20*J20</f>
        <v>0</v>
      </c>
      <c r="L20" s="54">
        <f>I20</f>
        <v>0</v>
      </c>
      <c r="M20" s="38" t="e">
        <f t="shared" si="0"/>
        <v>#DIV/0!</v>
      </c>
      <c r="N20" s="39">
        <v>0.6</v>
      </c>
      <c r="O20" s="40" t="e">
        <f t="shared" si="1"/>
        <v>#DIV/0!</v>
      </c>
      <c r="P20" s="8"/>
    </row>
    <row r="21" spans="1:20" ht="15.75" customHeight="1" thickBot="1" x14ac:dyDescent="0.35">
      <c r="A21" s="286"/>
      <c r="B21" s="286"/>
      <c r="C21" s="286"/>
      <c r="D21" s="286"/>
      <c r="F21" s="281"/>
      <c r="G21" s="27" t="s">
        <v>95</v>
      </c>
      <c r="H21" s="86" t="s">
        <v>18</v>
      </c>
      <c r="I21" s="3"/>
      <c r="J21" s="41">
        <v>1.4</v>
      </c>
      <c r="K21" s="48">
        <f t="shared" si="3"/>
        <v>0</v>
      </c>
      <c r="L21" s="57">
        <f>I21</f>
        <v>0</v>
      </c>
      <c r="M21" s="50" t="e">
        <f t="shared" si="0"/>
        <v>#DIV/0!</v>
      </c>
      <c r="N21" s="51">
        <v>0.35</v>
      </c>
      <c r="O21" s="52" t="e">
        <f t="shared" si="1"/>
        <v>#DIV/0!</v>
      </c>
      <c r="P21" s="8"/>
    </row>
    <row r="22" spans="1:20" ht="18" customHeight="1" x14ac:dyDescent="0.3">
      <c r="F22" s="282" t="s">
        <v>100</v>
      </c>
      <c r="G22" s="213" t="s">
        <v>108</v>
      </c>
      <c r="H22" s="91" t="s">
        <v>25</v>
      </c>
      <c r="I22" s="5"/>
      <c r="J22" s="110"/>
      <c r="K22" s="111"/>
      <c r="L22" s="54"/>
      <c r="M22" s="44"/>
      <c r="N22" s="39"/>
      <c r="O22" s="40">
        <f t="shared" si="1"/>
        <v>0</v>
      </c>
      <c r="P22" s="8"/>
    </row>
    <row r="23" spans="1:20" ht="29.1" customHeight="1" x14ac:dyDescent="0.3">
      <c r="A23" s="278" t="s">
        <v>99</v>
      </c>
      <c r="B23" s="279"/>
      <c r="C23" s="279"/>
      <c r="D23" s="279"/>
      <c r="F23" s="283"/>
      <c r="G23" s="214" t="s">
        <v>115</v>
      </c>
      <c r="H23" s="91" t="s">
        <v>25</v>
      </c>
      <c r="I23" s="6"/>
      <c r="J23" s="112"/>
      <c r="K23" s="111"/>
      <c r="L23" s="56"/>
      <c r="M23" s="44"/>
      <c r="N23" s="45"/>
      <c r="O23" s="46">
        <f>M23*N23</f>
        <v>0</v>
      </c>
      <c r="P23" s="8"/>
    </row>
    <row r="24" spans="1:20" ht="17.399999999999999" x14ac:dyDescent="0.3">
      <c r="A24" s="279"/>
      <c r="B24" s="279"/>
      <c r="C24" s="279"/>
      <c r="D24" s="279"/>
      <c r="F24" s="283"/>
      <c r="G24" s="214" t="s">
        <v>109</v>
      </c>
      <c r="H24" s="91" t="s">
        <v>25</v>
      </c>
      <c r="I24" s="5"/>
      <c r="J24" s="112"/>
      <c r="K24" s="111"/>
      <c r="L24" s="56"/>
      <c r="M24" s="44"/>
      <c r="N24" s="45"/>
      <c r="O24" s="46">
        <f>M24*N24</f>
        <v>0</v>
      </c>
    </row>
    <row r="25" spans="1:20" ht="16.2" thickBot="1" x14ac:dyDescent="0.35">
      <c r="A25" s="279"/>
      <c r="B25" s="279"/>
      <c r="C25" s="279"/>
      <c r="D25" s="279"/>
      <c r="F25" s="226"/>
      <c r="G25" s="228" t="s">
        <v>132</v>
      </c>
      <c r="H25" s="229" t="s">
        <v>18</v>
      </c>
      <c r="I25" s="232"/>
      <c r="J25" s="230"/>
      <c r="K25" s="111"/>
      <c r="L25" s="57">
        <f>I25</f>
        <v>0</v>
      </c>
      <c r="M25" s="44" t="e">
        <f>L25/$C$45</f>
        <v>#DIV/0!</v>
      </c>
      <c r="N25" s="45"/>
      <c r="O25" s="46" t="e">
        <f>M25*N25</f>
        <v>#DIV/0!</v>
      </c>
    </row>
    <row r="26" spans="1:20" ht="35.700000000000003" customHeight="1" thickBot="1" x14ac:dyDescent="0.35">
      <c r="A26" s="279"/>
      <c r="B26" s="279"/>
      <c r="C26" s="279"/>
      <c r="D26" s="279"/>
      <c r="F26" s="202" t="s">
        <v>60</v>
      </c>
      <c r="G26" s="203" t="s">
        <v>102</v>
      </c>
      <c r="H26" s="204" t="s">
        <v>18</v>
      </c>
      <c r="I26" s="205" t="str">
        <f>IF('Tontin tiedot'!D5=0,"Tontin ala 0!",C45-C47)</f>
        <v>Tontin ala 0!</v>
      </c>
      <c r="J26" s="206"/>
      <c r="K26" s="207"/>
      <c r="L26" s="198" t="str">
        <f>I26</f>
        <v>Tontin ala 0!</v>
      </c>
      <c r="M26" s="58" t="e">
        <f>L26/$C$45</f>
        <v>#VALUE!</v>
      </c>
      <c r="N26" s="59">
        <v>1</v>
      </c>
      <c r="O26" s="60" t="e">
        <f>M26*N26</f>
        <v>#VALUE!</v>
      </c>
      <c r="P26" s="82"/>
      <c r="T26" s="8"/>
    </row>
    <row r="27" spans="1:20" ht="16.5" customHeight="1" x14ac:dyDescent="0.3">
      <c r="F27" s="267" t="s">
        <v>93</v>
      </c>
      <c r="G27" s="197" t="s">
        <v>101</v>
      </c>
      <c r="H27" s="87" t="s">
        <v>18</v>
      </c>
      <c r="I27" s="4"/>
      <c r="J27" s="41">
        <v>0.7</v>
      </c>
      <c r="K27" s="41">
        <f>I27*J27</f>
        <v>0</v>
      </c>
      <c r="L27" s="61"/>
      <c r="N27" s="62"/>
    </row>
    <row r="28" spans="1:20" ht="16.5" customHeight="1" x14ac:dyDescent="0.3">
      <c r="A28" s="256" t="s">
        <v>118</v>
      </c>
      <c r="B28" s="257"/>
      <c r="C28" s="257"/>
      <c r="D28" s="257"/>
      <c r="F28" s="268"/>
      <c r="G28" s="25" t="s">
        <v>54</v>
      </c>
      <c r="H28" s="87" t="s">
        <v>39</v>
      </c>
      <c r="I28" s="2"/>
      <c r="J28" s="41">
        <v>0.9</v>
      </c>
      <c r="K28" s="41">
        <f>I28*25*J28</f>
        <v>0</v>
      </c>
      <c r="L28" s="61"/>
      <c r="N28" s="62"/>
    </row>
    <row r="29" spans="1:20" ht="16.5" customHeight="1" x14ac:dyDescent="0.3">
      <c r="A29" s="257"/>
      <c r="B29" s="257"/>
      <c r="C29" s="257"/>
      <c r="D29" s="257"/>
      <c r="F29" s="268"/>
      <c r="G29" s="25" t="s">
        <v>55</v>
      </c>
      <c r="H29" s="29" t="s">
        <v>39</v>
      </c>
      <c r="I29" s="4"/>
      <c r="J29" s="41">
        <v>0.9</v>
      </c>
      <c r="K29" s="41">
        <f>I29*25*J29</f>
        <v>0</v>
      </c>
      <c r="L29" s="61"/>
      <c r="N29" s="62"/>
    </row>
    <row r="30" spans="1:20" ht="16.5" customHeight="1" x14ac:dyDescent="0.3">
      <c r="A30" s="257"/>
      <c r="B30" s="257"/>
      <c r="C30" s="257"/>
      <c r="D30" s="257"/>
      <c r="F30" s="268"/>
      <c r="G30" s="26" t="s">
        <v>110</v>
      </c>
      <c r="H30" s="29" t="s">
        <v>39</v>
      </c>
      <c r="I30" s="2"/>
      <c r="J30" s="41">
        <v>1</v>
      </c>
      <c r="K30" s="41">
        <f>I30*J30</f>
        <v>0</v>
      </c>
      <c r="L30" s="61"/>
      <c r="N30" s="212"/>
    </row>
    <row r="31" spans="1:20" ht="16.5" customHeight="1" x14ac:dyDescent="0.3">
      <c r="A31" s="257"/>
      <c r="B31" s="257"/>
      <c r="C31" s="257"/>
      <c r="D31" s="257"/>
      <c r="F31" s="268"/>
      <c r="G31" s="25" t="s">
        <v>116</v>
      </c>
      <c r="H31" s="29" t="s">
        <v>10</v>
      </c>
      <c r="I31" s="4"/>
      <c r="J31" s="41">
        <v>0.9</v>
      </c>
      <c r="K31" s="41">
        <f t="shared" ref="K31:K36" si="4">I31*J31</f>
        <v>0</v>
      </c>
      <c r="L31" s="61"/>
      <c r="N31" s="62"/>
    </row>
    <row r="32" spans="1:20" ht="16.5" customHeight="1" x14ac:dyDescent="0.3">
      <c r="C32" s="8"/>
      <c r="D32" s="8"/>
      <c r="F32" s="268"/>
      <c r="G32" s="25" t="s">
        <v>106</v>
      </c>
      <c r="H32" s="29" t="s">
        <v>11</v>
      </c>
      <c r="I32" s="2"/>
      <c r="J32" s="41">
        <v>0.9</v>
      </c>
      <c r="K32" s="41">
        <f t="shared" si="4"/>
        <v>0</v>
      </c>
      <c r="L32" s="61"/>
      <c r="N32" s="62"/>
    </row>
    <row r="33" spans="1:21" ht="15.75" customHeight="1" x14ac:dyDescent="0.3">
      <c r="C33" s="21"/>
      <c r="D33" s="21"/>
      <c r="F33" s="268"/>
      <c r="G33" s="26" t="s">
        <v>56</v>
      </c>
      <c r="H33" s="29" t="s">
        <v>12</v>
      </c>
      <c r="I33" s="4"/>
      <c r="J33" s="41">
        <v>0.8</v>
      </c>
      <c r="K33" s="41">
        <f t="shared" si="4"/>
        <v>0</v>
      </c>
      <c r="L33" s="61"/>
      <c r="N33" s="62"/>
      <c r="U33" s="129"/>
    </row>
    <row r="34" spans="1:21" ht="16.5" customHeight="1" x14ac:dyDescent="0.3">
      <c r="A34" s="262" t="str">
        <f>IF(I26&lt;0,"Pinta-alat eivät täsmää. Tarkista tiedot.","")</f>
        <v/>
      </c>
      <c r="B34" s="262"/>
      <c r="C34" s="262"/>
      <c r="D34" s="262"/>
      <c r="E34" s="263"/>
      <c r="F34" s="268"/>
      <c r="G34" s="25" t="s">
        <v>57</v>
      </c>
      <c r="H34" s="29" t="s">
        <v>13</v>
      </c>
      <c r="I34" s="2"/>
      <c r="J34" s="41">
        <v>0.6</v>
      </c>
      <c r="K34" s="41">
        <f t="shared" si="4"/>
        <v>0</v>
      </c>
      <c r="L34" s="61"/>
      <c r="N34" s="62"/>
    </row>
    <row r="35" spans="1:21" ht="16.5" customHeight="1" x14ac:dyDescent="0.3">
      <c r="A35" s="262"/>
      <c r="B35" s="262"/>
      <c r="C35" s="262"/>
      <c r="D35" s="262"/>
      <c r="E35" s="263"/>
      <c r="F35" s="268"/>
      <c r="G35" s="25" t="s">
        <v>58</v>
      </c>
      <c r="H35" s="29" t="s">
        <v>14</v>
      </c>
      <c r="I35" s="4"/>
      <c r="J35" s="41">
        <v>0.7</v>
      </c>
      <c r="K35" s="41">
        <f t="shared" si="4"/>
        <v>0</v>
      </c>
      <c r="L35" s="61"/>
      <c r="N35" s="62"/>
    </row>
    <row r="36" spans="1:21" ht="15.6" x14ac:dyDescent="0.3">
      <c r="A36" s="262"/>
      <c r="B36" s="262"/>
      <c r="C36" s="262"/>
      <c r="D36" s="262"/>
      <c r="E36" s="263"/>
      <c r="F36" s="268"/>
      <c r="G36" s="25" t="s">
        <v>59</v>
      </c>
      <c r="H36" s="29" t="s">
        <v>15</v>
      </c>
      <c r="I36" s="2"/>
      <c r="J36" s="41">
        <v>0.6</v>
      </c>
      <c r="K36" s="41">
        <f t="shared" si="4"/>
        <v>0</v>
      </c>
      <c r="L36" s="61"/>
      <c r="N36" s="8"/>
    </row>
    <row r="37" spans="1:21" s="8" customFormat="1" ht="32.25" customHeight="1" thickBot="1" x14ac:dyDescent="0.35">
      <c r="C37" s="22"/>
      <c r="D37" s="22"/>
      <c r="F37" s="269"/>
      <c r="G37" s="90" t="s">
        <v>111</v>
      </c>
      <c r="H37" s="86" t="s">
        <v>39</v>
      </c>
      <c r="I37" s="3"/>
      <c r="J37" s="47">
        <v>0.6</v>
      </c>
      <c r="K37" s="47">
        <f>I37*2*J37</f>
        <v>0</v>
      </c>
      <c r="L37" s="61"/>
      <c r="N37" s="99"/>
      <c r="Q37" s="10"/>
    </row>
    <row r="38" spans="1:21" s="162" customFormat="1" x14ac:dyDescent="0.3">
      <c r="I38" s="162">
        <v>1</v>
      </c>
    </row>
    <row r="39" spans="1:21" s="133" customFormat="1" x14ac:dyDescent="0.3">
      <c r="A39" s="260"/>
      <c r="B39" s="260"/>
      <c r="C39" s="162"/>
      <c r="D39" s="162"/>
      <c r="E39" s="162"/>
      <c r="F39" s="162"/>
      <c r="G39" s="162"/>
    </row>
    <row r="40" spans="1:21" s="133" customFormat="1" ht="18.75" customHeight="1" x14ac:dyDescent="0.3">
      <c r="A40" s="260"/>
      <c r="B40" s="260"/>
      <c r="C40" s="162"/>
      <c r="D40" s="162"/>
      <c r="E40" s="162"/>
      <c r="F40" s="162"/>
      <c r="G40" s="210"/>
      <c r="H40" s="162"/>
      <c r="I40" s="162"/>
      <c r="J40" s="162"/>
      <c r="K40" s="162"/>
      <c r="L40" s="162"/>
    </row>
    <row r="41" spans="1:21" s="133" customFormat="1" ht="18.75" customHeight="1" x14ac:dyDescent="0.3">
      <c r="A41" s="260" t="s">
        <v>107</v>
      </c>
      <c r="B41" s="260"/>
      <c r="C41" s="261">
        <f>SUM($K$2:$K$37)</f>
        <v>0</v>
      </c>
      <c r="D41" s="261"/>
      <c r="E41" s="162"/>
      <c r="F41" s="162"/>
      <c r="G41" s="162"/>
      <c r="H41" s="162"/>
      <c r="I41" s="162"/>
      <c r="J41" s="162"/>
      <c r="K41" s="162"/>
      <c r="L41" s="162"/>
    </row>
    <row r="42" spans="1:21" s="133" customFormat="1" ht="18.75" customHeight="1" x14ac:dyDescent="0.3">
      <c r="A42" s="260"/>
      <c r="B42" s="260"/>
      <c r="C42" s="260"/>
      <c r="D42" s="260"/>
      <c r="E42" s="162"/>
      <c r="F42" s="162"/>
      <c r="G42" s="162"/>
      <c r="H42" s="163"/>
      <c r="I42" s="162"/>
      <c r="J42" s="162"/>
      <c r="K42" s="162"/>
      <c r="L42" s="162"/>
    </row>
    <row r="43" spans="1:21" s="133" customFormat="1" ht="16.95" customHeight="1" x14ac:dyDescent="0.3">
      <c r="A43" s="164"/>
      <c r="B43" s="164"/>
      <c r="C43" s="259"/>
      <c r="D43" s="259"/>
      <c r="E43" s="162"/>
      <c r="F43" s="266" t="s">
        <v>74</v>
      </c>
      <c r="G43" s="165" t="str">
        <f>IF(I22=0,"",I22&amp;" m"&amp;CHAR(179)&amp;" - "&amp;G22)</f>
        <v/>
      </c>
      <c r="H43" s="166"/>
      <c r="I43" s="167"/>
      <c r="K43" s="167"/>
      <c r="L43" s="167"/>
    </row>
    <row r="44" spans="1:21" s="133" customFormat="1" ht="18" customHeight="1" x14ac:dyDescent="0.3">
      <c r="A44" s="67"/>
      <c r="B44" s="67"/>
      <c r="C44" s="222"/>
      <c r="D44" s="222"/>
      <c r="E44" s="67"/>
      <c r="F44" s="266"/>
      <c r="G44" s="165" t="str">
        <f>IF(I23=0,"",I23&amp;" m"&amp;CHAR(179)&amp;" - "&amp;G23)</f>
        <v/>
      </c>
    </row>
    <row r="45" spans="1:21" s="133" customFormat="1" ht="58.2" hidden="1" customHeight="1" x14ac:dyDescent="0.3">
      <c r="A45" s="217" t="s">
        <v>128</v>
      </c>
      <c r="B45" s="217"/>
      <c r="C45" s="218">
        <f>'Tontin tiedot'!D5</f>
        <v>0</v>
      </c>
      <c r="D45" s="218"/>
      <c r="E45" s="67"/>
      <c r="F45" s="266"/>
      <c r="G45" s="165" t="str">
        <f>IF(I24=0,"",I24&amp;" m"&amp;CHAR(179)&amp;" - "&amp;G24)</f>
        <v/>
      </c>
      <c r="I45" s="209"/>
    </row>
    <row r="46" spans="1:21" s="133" customFormat="1" ht="58.2" hidden="1" customHeight="1" x14ac:dyDescent="0.3">
      <c r="A46" s="217"/>
      <c r="B46" s="217"/>
      <c r="C46" s="218"/>
      <c r="D46" s="218"/>
      <c r="E46" s="67"/>
      <c r="F46" s="227"/>
      <c r="G46" s="165" t="str">
        <f>IF(I25=0,"",I25&amp;" m"&amp;CHAR(178)&amp;" - "&amp;G25)</f>
        <v/>
      </c>
      <c r="I46" s="209"/>
    </row>
    <row r="47" spans="1:21" s="133" customFormat="1" ht="31.95" hidden="1" customHeight="1" x14ac:dyDescent="0.3">
      <c r="A47" s="113" t="s">
        <v>127</v>
      </c>
      <c r="B47" s="113"/>
      <c r="C47" s="219">
        <f>SUM(L2:L25)</f>
        <v>0</v>
      </c>
      <c r="D47" s="219"/>
      <c r="E47" s="67"/>
      <c r="F47" s="224" t="s">
        <v>75</v>
      </c>
      <c r="G47" s="165" t="str">
        <f>IF(I27=0,"",I27&amp;" m"&amp;CHAR(178)&amp;" - "&amp;G27)</f>
        <v/>
      </c>
    </row>
    <row r="48" spans="1:21" s="133" customFormat="1" ht="18.75" customHeight="1" x14ac:dyDescent="0.3">
      <c r="A48" s="162"/>
      <c r="B48" s="162"/>
      <c r="C48" s="168"/>
      <c r="D48" s="168"/>
      <c r="E48" s="162"/>
      <c r="F48" s="264" t="s">
        <v>40</v>
      </c>
      <c r="G48" s="165" t="str">
        <f>IF(I2=0,"",I2&amp;" kpl "&amp;" - "&amp;G2)</f>
        <v/>
      </c>
    </row>
    <row r="49" spans="1:7" s="133" customFormat="1" ht="18.75" customHeight="1" x14ac:dyDescent="0.3">
      <c r="A49" s="162"/>
      <c r="B49" s="162"/>
      <c r="C49" s="221"/>
      <c r="D49" s="221"/>
      <c r="E49" s="162"/>
      <c r="F49" s="264"/>
      <c r="G49" s="165" t="str">
        <f>IF(I3=0,"",I3&amp;" kpl "&amp;" - "&amp;G3)</f>
        <v/>
      </c>
    </row>
    <row r="50" spans="1:7" s="133" customFormat="1" ht="18.75" customHeight="1" x14ac:dyDescent="0.3">
      <c r="A50" s="162"/>
      <c r="B50" s="162"/>
      <c r="C50" s="169"/>
      <c r="D50" s="169"/>
      <c r="E50" s="162"/>
      <c r="F50" s="264"/>
      <c r="G50" s="165" t="str">
        <f>IF(I4=0,"",I4&amp;" kpl "&amp;" - "&amp;G4)</f>
        <v/>
      </c>
    </row>
    <row r="51" spans="1:7" s="133" customFormat="1" ht="18.75" customHeight="1" x14ac:dyDescent="0.3">
      <c r="A51" s="162"/>
      <c r="B51" s="162"/>
      <c r="C51" s="258"/>
      <c r="D51" s="220"/>
      <c r="E51" s="162"/>
      <c r="F51" s="264"/>
      <c r="G51" s="165" t="str">
        <f>IF(I5=0,"",I5&amp;" m"&amp;CHAR(178)&amp;" - "&amp;G5)</f>
        <v/>
      </c>
    </row>
    <row r="52" spans="1:7" s="133" customFormat="1" ht="18.75" customHeight="1" x14ac:dyDescent="0.3">
      <c r="A52" s="162"/>
      <c r="B52" s="162"/>
      <c r="C52" s="258"/>
      <c r="D52" s="220"/>
      <c r="E52" s="162"/>
      <c r="F52" s="264"/>
      <c r="G52" s="165" t="str">
        <f>IF(I6=0,"",I6&amp;" m"&amp;CHAR(178)&amp;" - "&amp;G6)</f>
        <v/>
      </c>
    </row>
    <row r="53" spans="1:7" s="133" customFormat="1" ht="18.75" customHeight="1" x14ac:dyDescent="0.3">
      <c r="A53" s="162"/>
      <c r="B53" s="162"/>
      <c r="C53" s="170"/>
      <c r="D53" s="170"/>
      <c r="E53" s="162"/>
      <c r="F53" s="264" t="s">
        <v>41</v>
      </c>
      <c r="G53" s="165" t="str">
        <f>IF(I7=0,"",I7&amp;" kpl "&amp;" - "&amp;G7)</f>
        <v/>
      </c>
    </row>
    <row r="54" spans="1:7" s="133" customFormat="1" ht="18.75" customHeight="1" x14ac:dyDescent="0.3">
      <c r="A54" s="162"/>
      <c r="B54" s="162"/>
      <c r="C54" s="220"/>
      <c r="D54" s="220"/>
      <c r="E54" s="162"/>
      <c r="F54" s="264"/>
      <c r="G54" s="165" t="str">
        <f>IF(I8=0,"",I8&amp;" kpl "&amp;" - "&amp;G8)</f>
        <v/>
      </c>
    </row>
    <row r="55" spans="1:7" s="133" customFormat="1" ht="18.75" customHeight="1" x14ac:dyDescent="0.3">
      <c r="A55" s="162"/>
      <c r="B55" s="162"/>
      <c r="C55" s="171"/>
      <c r="D55" s="171"/>
      <c r="E55" s="162"/>
      <c r="F55" s="264"/>
      <c r="G55" s="165" t="str">
        <f>IF(I9=0,"",I9&amp;" kpl "&amp;" - "&amp;G9)</f>
        <v/>
      </c>
    </row>
    <row r="56" spans="1:7" s="133" customFormat="1" ht="18.75" customHeight="1" x14ac:dyDescent="0.3">
      <c r="A56" s="162"/>
      <c r="B56" s="162"/>
      <c r="C56" s="221"/>
      <c r="D56" s="221"/>
      <c r="E56" s="162"/>
      <c r="F56" s="264"/>
      <c r="G56" s="165" t="str">
        <f>IF(I10=0,"",I10&amp;" kpl "&amp;" - "&amp;G10)</f>
        <v/>
      </c>
    </row>
    <row r="57" spans="1:7" s="133" customFormat="1" ht="18.75" customHeight="1" x14ac:dyDescent="0.3">
      <c r="A57" s="162"/>
      <c r="B57" s="162"/>
      <c r="C57" s="171"/>
      <c r="D57" s="171"/>
      <c r="E57" s="162"/>
      <c r="F57" s="264"/>
      <c r="G57" s="165" t="str">
        <f>IF(I11=0,"",I11&amp;" m"&amp;CHAR(178)&amp;" - "&amp;G11)</f>
        <v/>
      </c>
    </row>
    <row r="58" spans="1:7" s="133" customFormat="1" ht="18.75" customHeight="1" x14ac:dyDescent="0.3">
      <c r="A58" s="162"/>
      <c r="B58" s="162"/>
      <c r="C58" s="162"/>
      <c r="D58" s="162"/>
      <c r="E58" s="162"/>
      <c r="F58" s="264"/>
      <c r="G58" s="165" t="str">
        <f>IF(I12=0,"",I12&amp;" m"&amp;CHAR(178)&amp;" - "&amp;G12)</f>
        <v/>
      </c>
    </row>
    <row r="59" spans="1:7" s="133" customFormat="1" ht="18.75" customHeight="1" x14ac:dyDescent="0.3">
      <c r="A59" s="162"/>
      <c r="B59" s="162"/>
      <c r="C59" s="162"/>
      <c r="D59" s="162"/>
      <c r="E59" s="162"/>
      <c r="F59" s="264"/>
      <c r="G59" s="165" t="str">
        <f>IF(I13=0,"",I13&amp;" m"&amp;CHAR(178)&amp;" - "&amp;G13)</f>
        <v/>
      </c>
    </row>
    <row r="60" spans="1:7" s="133" customFormat="1" ht="18.75" customHeight="1" x14ac:dyDescent="0.3">
      <c r="A60" s="162"/>
      <c r="B60" s="162"/>
      <c r="C60" s="162"/>
      <c r="D60" s="162"/>
      <c r="E60" s="162"/>
      <c r="F60" s="264"/>
      <c r="G60" s="165" t="str">
        <f>IF(I14=0,"",I14&amp;" m"&amp;CHAR(178)&amp;" - "&amp;G14)</f>
        <v/>
      </c>
    </row>
    <row r="61" spans="1:7" s="133" customFormat="1" ht="18.75" customHeight="1" x14ac:dyDescent="0.3">
      <c r="A61" s="162"/>
      <c r="B61" s="162"/>
      <c r="C61" s="162"/>
      <c r="D61" s="162"/>
      <c r="E61" s="162"/>
      <c r="F61" s="264"/>
      <c r="G61" s="165" t="str">
        <f>IF(I15=0,"",I15&amp;" m"&amp;CHAR(178)&amp;" - "&amp;G15)</f>
        <v/>
      </c>
    </row>
    <row r="62" spans="1:7" s="133" customFormat="1" ht="18.75" customHeight="1" x14ac:dyDescent="0.3">
      <c r="A62" s="162"/>
      <c r="B62" s="162"/>
      <c r="C62" s="162"/>
      <c r="D62" s="162"/>
      <c r="E62" s="162"/>
      <c r="F62" s="264"/>
      <c r="G62" s="165" t="str">
        <f t="shared" ref="G62:G67" si="5">IF(I16=0,"",I16&amp;" m"&amp;CHAR(178)&amp;" - "&amp;G16)</f>
        <v/>
      </c>
    </row>
    <row r="63" spans="1:7" s="133" customFormat="1" ht="18.75" customHeight="1" x14ac:dyDescent="0.3">
      <c r="A63" s="162"/>
      <c r="B63" s="162"/>
      <c r="C63" s="162"/>
      <c r="D63" s="162"/>
      <c r="E63" s="162"/>
      <c r="F63" s="264"/>
      <c r="G63" s="165" t="str">
        <f t="shared" si="5"/>
        <v/>
      </c>
    </row>
    <row r="64" spans="1:7" s="133" customFormat="1" ht="18.75" customHeight="1" x14ac:dyDescent="0.3">
      <c r="A64" s="162"/>
      <c r="B64" s="162"/>
      <c r="C64" s="162"/>
      <c r="D64" s="162"/>
      <c r="E64" s="162"/>
      <c r="F64" s="264"/>
      <c r="G64" s="165" t="str">
        <f t="shared" si="5"/>
        <v/>
      </c>
    </row>
    <row r="65" spans="1:7" s="133" customFormat="1" ht="18.75" customHeight="1" x14ac:dyDescent="0.3">
      <c r="A65" s="162"/>
      <c r="B65" s="162"/>
      <c r="C65" s="162"/>
      <c r="D65" s="162"/>
      <c r="E65" s="162"/>
      <c r="F65" s="264"/>
      <c r="G65" s="165" t="str">
        <f t="shared" si="5"/>
        <v/>
      </c>
    </row>
    <row r="66" spans="1:7" s="133" customFormat="1" ht="18.75" customHeight="1" x14ac:dyDescent="0.3">
      <c r="A66" s="162"/>
      <c r="B66" s="162"/>
      <c r="C66" s="162"/>
      <c r="D66" s="162"/>
      <c r="E66" s="162"/>
      <c r="F66" s="265" t="s">
        <v>76</v>
      </c>
      <c r="G66" s="165" t="str">
        <f>IF(I20=0,"",I20&amp;" m"&amp;CHAR(178)&amp;" - "&amp;G20)</f>
        <v/>
      </c>
    </row>
    <row r="67" spans="1:7" s="133" customFormat="1" ht="18.75" customHeight="1" x14ac:dyDescent="0.3">
      <c r="A67" s="162"/>
      <c r="B67" s="162"/>
      <c r="C67" s="162"/>
      <c r="D67" s="162"/>
      <c r="E67" s="162"/>
      <c r="F67" s="265"/>
      <c r="G67" s="165" t="str">
        <f t="shared" si="5"/>
        <v/>
      </c>
    </row>
    <row r="68" spans="1:7" s="133" customFormat="1" ht="18.75" customHeight="1" x14ac:dyDescent="0.3">
      <c r="A68" s="162"/>
      <c r="B68" s="162"/>
      <c r="C68" s="162"/>
      <c r="D68" s="162"/>
      <c r="E68" s="162"/>
      <c r="F68" s="225" t="s">
        <v>77</v>
      </c>
      <c r="G68" s="165" t="str">
        <f>IF(I26=0,"",I26&amp;" m"&amp;CHAR(178)&amp;" - "&amp;G26)</f>
        <v>Tontin ala 0! m² - Läpäisemätön pinta-ala. Taulukko laskee tämän automaattisesti.</v>
      </c>
    </row>
    <row r="69" spans="1:7" s="133" customFormat="1" ht="18.75" customHeight="1" x14ac:dyDescent="0.3">
      <c r="A69" s="162"/>
      <c r="B69" s="162"/>
      <c r="C69" s="162"/>
      <c r="D69" s="162"/>
      <c r="E69" s="162"/>
      <c r="F69" s="265" t="s">
        <v>78</v>
      </c>
      <c r="G69" s="165" t="str">
        <f>IF(I28=0,"",I28&amp;" kpl "&amp;" - "&amp;G28)</f>
        <v/>
      </c>
    </row>
    <row r="70" spans="1:7" s="133" customFormat="1" ht="18.75" customHeight="1" x14ac:dyDescent="0.3">
      <c r="A70" s="162"/>
      <c r="B70" s="162"/>
      <c r="C70" s="162"/>
      <c r="D70" s="162"/>
      <c r="E70" s="162"/>
      <c r="F70" s="265"/>
      <c r="G70" s="165" t="str">
        <f>IF(I29=0,"",I29&amp;" kpl "&amp;" - "&amp;G29)</f>
        <v/>
      </c>
    </row>
    <row r="71" spans="1:7" s="133" customFormat="1" ht="18.75" customHeight="1" x14ac:dyDescent="0.3">
      <c r="A71" s="162"/>
      <c r="B71" s="162"/>
      <c r="C71" s="162"/>
      <c r="D71" s="162"/>
      <c r="E71" s="162"/>
      <c r="F71" s="265"/>
      <c r="G71" s="165" t="str">
        <f>IF(I30=0,"",I30&amp;" kpl "&amp;" - "&amp;G30)</f>
        <v/>
      </c>
    </row>
    <row r="72" spans="1:7" s="133" customFormat="1" ht="18.75" customHeight="1" x14ac:dyDescent="0.3">
      <c r="A72" s="162"/>
      <c r="B72" s="162"/>
      <c r="C72" s="162"/>
      <c r="D72" s="162"/>
      <c r="E72" s="162"/>
      <c r="F72" s="265"/>
      <c r="G72" s="165" t="str">
        <f t="shared" ref="G72:G77" si="6">IF(I31=0,"",I31&amp;" m"&amp;CHAR(178)&amp;" - "&amp;G31)</f>
        <v/>
      </c>
    </row>
    <row r="73" spans="1:7" s="133" customFormat="1" ht="18.75" customHeight="1" x14ac:dyDescent="0.3">
      <c r="A73" s="162"/>
      <c r="B73" s="162"/>
      <c r="C73" s="162"/>
      <c r="D73" s="162"/>
      <c r="E73" s="162"/>
      <c r="F73" s="265"/>
      <c r="G73" s="165" t="str">
        <f t="shared" si="6"/>
        <v/>
      </c>
    </row>
    <row r="74" spans="1:7" s="133" customFormat="1" ht="18.75" customHeight="1" x14ac:dyDescent="0.3">
      <c r="A74" s="162"/>
      <c r="B74" s="162"/>
      <c r="C74" s="162"/>
      <c r="D74" s="162"/>
      <c r="E74" s="162"/>
      <c r="F74" s="265"/>
      <c r="G74" s="165" t="str">
        <f t="shared" si="6"/>
        <v/>
      </c>
    </row>
    <row r="75" spans="1:7" s="133" customFormat="1" ht="18.75" customHeight="1" x14ac:dyDescent="0.3">
      <c r="A75" s="162"/>
      <c r="B75" s="162"/>
      <c r="C75" s="162"/>
      <c r="D75" s="162"/>
      <c r="E75" s="162"/>
      <c r="F75" s="265"/>
      <c r="G75" s="165" t="str">
        <f t="shared" si="6"/>
        <v/>
      </c>
    </row>
    <row r="76" spans="1:7" s="133" customFormat="1" ht="18.75" customHeight="1" x14ac:dyDescent="0.3">
      <c r="A76" s="162"/>
      <c r="B76" s="162"/>
      <c r="C76" s="162"/>
      <c r="D76" s="162"/>
      <c r="E76" s="162"/>
      <c r="F76" s="265"/>
      <c r="G76" s="165" t="str">
        <f t="shared" si="6"/>
        <v/>
      </c>
    </row>
    <row r="77" spans="1:7" s="133" customFormat="1" ht="18.75" customHeight="1" x14ac:dyDescent="0.3">
      <c r="A77" s="162"/>
      <c r="B77" s="162"/>
      <c r="C77" s="162"/>
      <c r="D77" s="162"/>
      <c r="E77" s="162"/>
      <c r="F77" s="265"/>
      <c r="G77" s="165" t="str">
        <f t="shared" si="6"/>
        <v/>
      </c>
    </row>
    <row r="78" spans="1:7" s="133" customFormat="1" ht="18.75" customHeight="1" x14ac:dyDescent="0.3">
      <c r="A78" s="162"/>
      <c r="B78" s="162"/>
      <c r="C78" s="162"/>
      <c r="D78" s="162"/>
      <c r="E78" s="162"/>
      <c r="F78" s="265"/>
      <c r="G78" s="165" t="str">
        <f>IF(I37=0,"",I37&amp;" kpl "&amp;" - "&amp;G37)</f>
        <v/>
      </c>
    </row>
    <row r="79" spans="1:7" s="133" customFormat="1" ht="18.75" customHeight="1" x14ac:dyDescent="0.3">
      <c r="G79" s="165"/>
    </row>
    <row r="80" spans="1:7" s="133" customFormat="1" ht="18.75" customHeight="1" x14ac:dyDescent="0.3"/>
  </sheetData>
  <sheetProtection algorithmName="SHA-512" hashValue="sInawmFFpVSHZ1UllPCoS5YRrrVi5+myq5qaHJUMmMw2uEdJeiqH0VX+jwM8tyzbFlEWtyekWcXLA4Mh9okZIw==" saltValue="LYaE6ENG59k7o4QwfBVW7w==" spinCount="100000" sheet="1" formatCells="0" formatColumns="0" formatRows="0" insertColumns="0" insertRows="0" insertHyperlinks="0" deleteColumns="0" deleteRows="0" sort="0" autoFilter="0" pivotTables="0"/>
  <mergeCells count="37">
    <mergeCell ref="A1:E1"/>
    <mergeCell ref="A14:D14"/>
    <mergeCell ref="A15:B15"/>
    <mergeCell ref="C15:D15"/>
    <mergeCell ref="A10:D10"/>
    <mergeCell ref="C8:D8"/>
    <mergeCell ref="C11:D11"/>
    <mergeCell ref="A11:B11"/>
    <mergeCell ref="A8:B8"/>
    <mergeCell ref="A7:D7"/>
    <mergeCell ref="A12:B12"/>
    <mergeCell ref="C12:D12"/>
    <mergeCell ref="A16:B17"/>
    <mergeCell ref="C16:D17"/>
    <mergeCell ref="A23:D26"/>
    <mergeCell ref="F2:F6"/>
    <mergeCell ref="F7:F19"/>
    <mergeCell ref="F20:F21"/>
    <mergeCell ref="F22:F24"/>
    <mergeCell ref="A2:D4"/>
    <mergeCell ref="A18:D21"/>
    <mergeCell ref="A5:B6"/>
    <mergeCell ref="C5:D6"/>
    <mergeCell ref="F53:F65"/>
    <mergeCell ref="F66:F67"/>
    <mergeCell ref="F69:F78"/>
    <mergeCell ref="F43:F45"/>
    <mergeCell ref="F27:F37"/>
    <mergeCell ref="F48:F52"/>
    <mergeCell ref="A28:D31"/>
    <mergeCell ref="C51:C52"/>
    <mergeCell ref="C43:D43"/>
    <mergeCell ref="A39:B40"/>
    <mergeCell ref="A41:B42"/>
    <mergeCell ref="C41:D41"/>
    <mergeCell ref="C42:D42"/>
    <mergeCell ref="A34:E36"/>
  </mergeCells>
  <conditionalFormatting sqref="C43">
    <cfRule type="cellIs" dxfId="28" priority="32" operator="notBetween">
      <formula>1</formula>
      <formula>0</formula>
    </cfRule>
  </conditionalFormatting>
  <conditionalFormatting sqref="C8">
    <cfRule type="cellIs" dxfId="27" priority="10" operator="lessThan">
      <formula>A8</formula>
    </cfRule>
    <cfRule type="containsText" dxfId="26" priority="11" operator="containsText" text="Tontin ala 0!">
      <formula>NOT(ISERROR(SEARCH("Tontin ala 0!",C8)))</formula>
    </cfRule>
  </conditionalFormatting>
  <conditionalFormatting sqref="C11">
    <cfRule type="cellIs" dxfId="25" priority="8" operator="lessThan">
      <formula>A11</formula>
    </cfRule>
    <cfRule type="containsText" dxfId="24" priority="9" operator="containsText" text="Tontin ala 0!">
      <formula>NOT(ISERROR(SEARCH("Tontin ala 0!",C11)))</formula>
    </cfRule>
  </conditionalFormatting>
  <conditionalFormatting sqref="C12">
    <cfRule type="containsText" dxfId="23" priority="7" operator="containsText" text="Tontin ala 0!">
      <formula>NOT(ISERROR(SEARCH("Tontin ala 0!",C12)))</formula>
    </cfRule>
  </conditionalFormatting>
  <conditionalFormatting sqref="C15">
    <cfRule type="cellIs" dxfId="22" priority="6" operator="lessThan">
      <formula>A15</formula>
    </cfRule>
  </conditionalFormatting>
  <conditionalFormatting sqref="C15">
    <cfRule type="containsText" dxfId="21" priority="5" operator="containsText" text="Tontin ala 0!">
      <formula>NOT(ISERROR(SEARCH("Tontin ala 0!",C15)))</formula>
    </cfRule>
  </conditionalFormatting>
  <conditionalFormatting sqref="C16:D17">
    <cfRule type="containsText" dxfId="20" priority="4" operator="containsText" text="Tontin">
      <formula>NOT(ISERROR(SEARCH("Tontin",C16)))</formula>
    </cfRule>
  </conditionalFormatting>
  <conditionalFormatting sqref="I26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>
    <tabColor theme="8" tint="0.59999389629810485"/>
  </sheetPr>
  <dimension ref="A1:AF62"/>
  <sheetViews>
    <sheetView topLeftCell="B1" zoomScale="70" zoomScaleNormal="70" workbookViewId="0">
      <selection activeCell="E1" sqref="E1"/>
    </sheetView>
  </sheetViews>
  <sheetFormatPr defaultColWidth="9.33203125" defaultRowHeight="14.4" x14ac:dyDescent="0.3"/>
  <cols>
    <col min="1" max="1" width="0" style="10" hidden="1" customWidth="1"/>
    <col min="2" max="2" width="5.6640625" style="10" customWidth="1"/>
    <col min="3" max="3" width="22.6640625" style="10" customWidth="1"/>
    <col min="4" max="4" width="3.6640625" style="10" customWidth="1"/>
    <col min="5" max="5" width="22.6640625" style="10" customWidth="1"/>
    <col min="6" max="6" width="3.6640625" style="10" customWidth="1"/>
    <col min="7" max="7" width="23.6640625" style="10" customWidth="1"/>
    <col min="8" max="8" width="3.6640625" style="10" customWidth="1"/>
    <col min="9" max="9" width="20.6640625" style="10" customWidth="1"/>
    <col min="10" max="11" width="5.6640625" style="10" customWidth="1"/>
    <col min="12" max="12" width="22.6640625" style="10" customWidth="1"/>
    <col min="13" max="13" width="3.6640625" style="10" customWidth="1"/>
    <col min="14" max="14" width="22.6640625" style="10" customWidth="1"/>
    <col min="15" max="15" width="3.6640625" style="10" customWidth="1"/>
    <col min="16" max="16" width="23.6640625" style="10" customWidth="1"/>
    <col min="17" max="17" width="3.6640625" style="10" customWidth="1"/>
    <col min="18" max="18" width="20.6640625" style="10" customWidth="1"/>
    <col min="19" max="20" width="5.6640625" style="10" customWidth="1"/>
    <col min="21" max="21" width="9.33203125" style="10"/>
    <col min="22" max="22" width="9.33203125" style="10" customWidth="1"/>
    <col min="23" max="23" width="53.88671875" style="17" customWidth="1"/>
    <col min="24" max="24" width="45.88671875" style="17" customWidth="1"/>
    <col min="25" max="16384" width="9.33203125" style="10"/>
  </cols>
  <sheetData>
    <row r="1" spans="1:32" ht="21.75" customHeight="1" x14ac:dyDescent="0.3">
      <c r="A1" s="8"/>
      <c r="B1" s="8"/>
      <c r="C1" s="353"/>
      <c r="D1" s="353"/>
      <c r="E1" s="8"/>
      <c r="F1" s="8"/>
      <c r="I1" s="8"/>
      <c r="J1" s="8"/>
      <c r="L1" s="353"/>
      <c r="M1" s="353"/>
      <c r="N1" s="8"/>
      <c r="O1" s="8"/>
      <c r="R1" s="8"/>
      <c r="S1" s="8"/>
    </row>
    <row r="2" spans="1:32" ht="21.75" customHeight="1" x14ac:dyDescent="0.3">
      <c r="A2" s="8"/>
      <c r="B2" s="8"/>
      <c r="C2" s="353"/>
      <c r="D2" s="353"/>
      <c r="E2" s="11"/>
      <c r="J2" s="8"/>
      <c r="L2" s="353"/>
      <c r="M2" s="353"/>
      <c r="N2" s="11"/>
    </row>
    <row r="3" spans="1:32" ht="25.2" customHeight="1" x14ac:dyDescent="0.65">
      <c r="A3" s="8"/>
      <c r="B3" s="8"/>
      <c r="E3" s="349" t="s">
        <v>72</v>
      </c>
      <c r="F3" s="349"/>
      <c r="G3" s="349"/>
      <c r="H3" s="12"/>
      <c r="L3" s="352" t="s">
        <v>126</v>
      </c>
      <c r="M3" s="352"/>
      <c r="N3" s="352"/>
      <c r="O3" s="352"/>
      <c r="P3" s="352"/>
      <c r="Q3" s="352"/>
      <c r="R3" s="352"/>
      <c r="S3" s="352"/>
      <c r="T3" s="352"/>
    </row>
    <row r="4" spans="1:32" s="13" customFormat="1" ht="16.5" customHeight="1" x14ac:dyDescent="0.3">
      <c r="A4" s="9"/>
      <c r="B4" s="9"/>
      <c r="C4" s="195"/>
      <c r="D4" s="195"/>
      <c r="E4" s="195"/>
      <c r="F4" s="195"/>
      <c r="G4" s="195"/>
      <c r="H4" s="195"/>
      <c r="I4" s="124" t="s">
        <v>90</v>
      </c>
      <c r="J4" s="187" t="s">
        <v>85</v>
      </c>
      <c r="Q4" s="9"/>
      <c r="R4" s="124" t="s">
        <v>90</v>
      </c>
      <c r="S4" s="125" t="s">
        <v>86</v>
      </c>
      <c r="T4" s="181"/>
      <c r="W4" s="18"/>
      <c r="X4" s="18"/>
    </row>
    <row r="5" spans="1:32" s="13" customFormat="1" ht="16.5" customHeight="1" x14ac:dyDescent="0.3">
      <c r="A5" s="9"/>
      <c r="B5" s="9"/>
      <c r="C5" s="194" t="s">
        <v>89</v>
      </c>
      <c r="D5" s="350">
        <f ca="1">'Tontin tiedot'!B2</f>
        <v>44508</v>
      </c>
      <c r="E5" s="350"/>
      <c r="F5" s="9"/>
      <c r="J5" s="355"/>
      <c r="K5" s="355"/>
      <c r="L5" s="194" t="s">
        <v>30</v>
      </c>
      <c r="M5" s="158">
        <f>'Tontin tiedot'!$B$5</f>
        <v>0</v>
      </c>
      <c r="N5" s="159"/>
      <c r="O5" s="159"/>
      <c r="P5" s="182" t="s">
        <v>89</v>
      </c>
      <c r="R5" s="350">
        <f ca="1">'Tontin tiedot'!B2</f>
        <v>44508</v>
      </c>
      <c r="S5" s="350"/>
      <c r="T5" s="9"/>
      <c r="W5" s="18"/>
      <c r="X5" s="18"/>
    </row>
    <row r="6" spans="1:32" ht="20.100000000000001" customHeight="1" x14ac:dyDescent="0.3">
      <c r="A6" s="8"/>
      <c r="B6" s="8"/>
      <c r="C6" s="194" t="s">
        <v>30</v>
      </c>
      <c r="D6" s="158">
        <f>'Tontin tiedot'!$B$5</f>
        <v>0</v>
      </c>
      <c r="E6" s="159"/>
      <c r="F6" s="159"/>
      <c r="G6" s="182" t="s">
        <v>19</v>
      </c>
      <c r="H6" s="182"/>
      <c r="I6" s="150">
        <f>'Tontin tiedot'!$D$2</f>
        <v>0</v>
      </c>
      <c r="J6" s="150"/>
      <c r="L6" s="354" t="s">
        <v>68</v>
      </c>
      <c r="M6" s="132"/>
      <c r="N6" s="13"/>
      <c r="O6" s="13"/>
      <c r="P6" s="182" t="s">
        <v>19</v>
      </c>
      <c r="Q6" s="196"/>
      <c r="R6" s="341">
        <f>'Tontin tiedot'!$D$2</f>
        <v>0</v>
      </c>
      <c r="S6" s="341"/>
    </row>
    <row r="7" spans="1:32" ht="20.100000000000001" customHeight="1" x14ac:dyDescent="0.3">
      <c r="A7" s="8"/>
      <c r="B7" s="8"/>
      <c r="C7" s="354" t="s">
        <v>68</v>
      </c>
      <c r="D7" s="158"/>
      <c r="E7" s="159"/>
      <c r="F7" s="159"/>
      <c r="G7" s="122" t="s">
        <v>31</v>
      </c>
      <c r="H7" s="341">
        <f>'Tontin tiedot'!$B$10</f>
        <v>0</v>
      </c>
      <c r="I7" s="341"/>
      <c r="J7" s="341"/>
      <c r="K7" s="341"/>
      <c r="L7" s="354"/>
      <c r="M7" s="132"/>
      <c r="N7" s="123">
        <f>'Tontin tiedot'!C5</f>
        <v>0</v>
      </c>
      <c r="O7" s="92"/>
      <c r="P7" s="191" t="s">
        <v>21</v>
      </c>
      <c r="Q7" s="341">
        <f>'Tontin tiedot'!$B$7</f>
        <v>0</v>
      </c>
      <c r="R7" s="341"/>
      <c r="S7" s="341"/>
    </row>
    <row r="8" spans="1:32" ht="18" customHeight="1" x14ac:dyDescent="0.3">
      <c r="A8" s="8"/>
      <c r="B8" s="8"/>
      <c r="C8" s="354"/>
      <c r="D8" s="356">
        <f>'Tontin tiedot'!C5</f>
        <v>0</v>
      </c>
      <c r="E8" s="356"/>
      <c r="F8" s="92"/>
      <c r="G8" s="122" t="s">
        <v>23</v>
      </c>
      <c r="H8" s="341">
        <f>'Tontin tiedot'!$B$12</f>
        <v>0</v>
      </c>
      <c r="I8" s="341"/>
      <c r="J8" s="341"/>
      <c r="L8" s="192"/>
      <c r="M8" s="193"/>
      <c r="N8" s="193"/>
      <c r="O8" s="193"/>
      <c r="P8" s="346"/>
      <c r="Q8" s="346"/>
      <c r="R8" s="189"/>
      <c r="S8" s="190"/>
      <c r="W8" s="183"/>
      <c r="X8" s="122"/>
      <c r="Y8" s="121"/>
      <c r="Z8" s="121"/>
      <c r="AA8" s="8"/>
      <c r="AB8" s="8"/>
    </row>
    <row r="9" spans="1:32" ht="18" customHeight="1" x14ac:dyDescent="0.3">
      <c r="A9" s="8"/>
      <c r="B9" s="8"/>
      <c r="C9" s="107" t="s">
        <v>21</v>
      </c>
      <c r="D9" s="351">
        <f>'Tontin tiedot'!$B$7</f>
        <v>0</v>
      </c>
      <c r="E9" s="351"/>
      <c r="F9" s="351"/>
      <c r="G9" s="122" t="s">
        <v>24</v>
      </c>
      <c r="H9" s="121">
        <f>'Tontin tiedot'!$D$12</f>
        <v>0</v>
      </c>
      <c r="I9" s="121"/>
      <c r="J9" s="9"/>
      <c r="L9" s="340" t="s">
        <v>88</v>
      </c>
      <c r="M9" s="340"/>
      <c r="N9" s="184">
        <f>'Tontin tiedot'!$D$5</f>
        <v>0</v>
      </c>
      <c r="O9" s="185"/>
      <c r="P9" s="340" t="s">
        <v>87</v>
      </c>
      <c r="Q9" s="340"/>
      <c r="R9" s="184">
        <f>'Tontin tiedot'!$E$5</f>
        <v>0</v>
      </c>
      <c r="S9" s="186"/>
    </row>
    <row r="10" spans="1:32" s="13" customFormat="1" ht="18" customHeight="1" x14ac:dyDescent="0.3">
      <c r="A10" s="9"/>
      <c r="B10" s="9"/>
      <c r="C10" s="188"/>
      <c r="D10" s="345"/>
      <c r="E10" s="345"/>
      <c r="F10" s="345"/>
      <c r="G10" s="346"/>
      <c r="H10" s="346"/>
      <c r="I10" s="189"/>
      <c r="J10" s="190"/>
      <c r="L10" s="108"/>
      <c r="M10" s="121"/>
      <c r="N10" s="121"/>
      <c r="O10" s="121"/>
      <c r="P10" s="122"/>
      <c r="Q10" s="121"/>
      <c r="R10" s="121"/>
      <c r="S10" s="9"/>
      <c r="W10" s="18"/>
      <c r="X10" s="18"/>
    </row>
    <row r="11" spans="1:32" s="13" customFormat="1" ht="18" customHeight="1" x14ac:dyDescent="0.4">
      <c r="A11" s="9"/>
      <c r="B11" s="9"/>
      <c r="C11" s="340" t="s">
        <v>88</v>
      </c>
      <c r="D11" s="340"/>
      <c r="E11" s="184">
        <f>'Tontin tiedot'!$D$5</f>
        <v>0</v>
      </c>
      <c r="F11" s="185"/>
      <c r="G11" s="340" t="s">
        <v>87</v>
      </c>
      <c r="H11" s="340"/>
      <c r="I11" s="184">
        <f>'Tontin tiedot'!$E$5</f>
        <v>0</v>
      </c>
      <c r="J11" s="186"/>
      <c r="L11" s="131" t="s">
        <v>79</v>
      </c>
      <c r="M11" s="15"/>
      <c r="N11" s="15"/>
      <c r="O11" s="15"/>
      <c r="P11" s="15"/>
      <c r="Q11" s="15"/>
      <c r="R11" s="8"/>
      <c r="S11" s="94"/>
      <c r="W11" s="18"/>
      <c r="X11" s="18"/>
    </row>
    <row r="12" spans="1:32" s="105" customFormat="1" ht="6" customHeight="1" x14ac:dyDescent="0.65">
      <c r="A12" s="102"/>
      <c r="B12" s="101"/>
      <c r="C12" s="347"/>
      <c r="D12" s="347"/>
      <c r="E12" s="347"/>
      <c r="F12" s="103"/>
      <c r="G12" s="347"/>
      <c r="H12" s="347"/>
      <c r="I12" s="102"/>
      <c r="J12" s="102"/>
      <c r="K12" s="104"/>
      <c r="L12" s="320" t="str">
        <f>Siniviherkerroin!$G$48&amp;IF(Siniviherkerroin!$G$48&lt;&gt;"",CHAR(10),"")&amp;Siniviherkerroin!$G$49&amp;IF(Siniviherkerroin!$G$49&lt;&gt;"",CHAR(10),"")&amp;Siniviherkerroin!$G$50&amp;IF(Siniviherkerroin!$G$50&lt;&gt;"",CHAR(10),"")&amp;Siniviherkerroin!$G$51&amp;IF(Siniviherkerroin!$G$51&lt;&gt;"",CHAR(10),"")&amp;Siniviherkerroin!$G$52&amp;IF(Siniviherkerroin!$G$52&lt;&gt;"",CHAR(10),"")</f>
        <v/>
      </c>
      <c r="M12" s="320"/>
      <c r="N12" s="320"/>
      <c r="O12" s="320"/>
      <c r="P12" s="320"/>
      <c r="Q12" s="320"/>
      <c r="R12" s="320"/>
      <c r="S12" s="320"/>
      <c r="T12" s="104"/>
      <c r="W12" s="106"/>
      <c r="X12" s="106"/>
    </row>
    <row r="13" spans="1:32" ht="15.45" customHeight="1" x14ac:dyDescent="0.3">
      <c r="A13" s="8"/>
      <c r="B13" s="8"/>
      <c r="C13" s="327"/>
      <c r="D13" s="327"/>
      <c r="E13" s="327"/>
      <c r="F13" s="327"/>
      <c r="G13" s="348" t="s">
        <v>71</v>
      </c>
      <c r="H13" s="348"/>
      <c r="I13" s="332" t="s">
        <v>69</v>
      </c>
      <c r="J13" s="332"/>
      <c r="K13" s="93"/>
      <c r="L13" s="321"/>
      <c r="M13" s="321"/>
      <c r="N13" s="321"/>
      <c r="O13" s="321"/>
      <c r="P13" s="321"/>
      <c r="Q13" s="321"/>
      <c r="R13" s="321"/>
      <c r="S13" s="321"/>
      <c r="T13" s="93"/>
      <c r="U13" s="95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</row>
    <row r="14" spans="1:32" ht="21.45" customHeight="1" x14ac:dyDescent="0.35">
      <c r="A14" s="8"/>
      <c r="B14" s="8"/>
      <c r="C14" s="343" t="s">
        <v>32</v>
      </c>
      <c r="D14" s="343"/>
      <c r="E14" s="343"/>
      <c r="F14" s="343"/>
      <c r="G14" s="344">
        <f>Siniviherkerroin!$A$8</f>
        <v>0</v>
      </c>
      <c r="H14" s="344"/>
      <c r="I14" s="336" t="str">
        <f>Siniviherkerroin!$C$8</f>
        <v>Tontin ala 0!</v>
      </c>
      <c r="J14" s="336"/>
      <c r="K14" s="93"/>
      <c r="L14" s="321"/>
      <c r="M14" s="321"/>
      <c r="N14" s="321"/>
      <c r="O14" s="321"/>
      <c r="P14" s="321"/>
      <c r="Q14" s="321"/>
      <c r="R14" s="321"/>
      <c r="S14" s="321"/>
      <c r="T14" s="93"/>
      <c r="U14" s="95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</row>
    <row r="15" spans="1:32" ht="15.75" customHeight="1" x14ac:dyDescent="0.3">
      <c r="A15" s="8"/>
      <c r="B15" s="8"/>
      <c r="C15" s="333" t="s">
        <v>129</v>
      </c>
      <c r="D15" s="333"/>
      <c r="E15" s="333"/>
      <c r="F15" s="333"/>
      <c r="G15" s="335" t="str">
        <f>Siniviherkerroin!$A$11</f>
        <v>Tontin ala 0!</v>
      </c>
      <c r="H15" s="335"/>
      <c r="I15" s="328" t="str">
        <f>Siniviherkerroin!$C$11</f>
        <v>Tontin ala 0!</v>
      </c>
      <c r="J15" s="328"/>
      <c r="K15" s="93"/>
      <c r="L15" s="321"/>
      <c r="M15" s="321"/>
      <c r="N15" s="321"/>
      <c r="O15" s="321"/>
      <c r="P15" s="321"/>
      <c r="Q15" s="321"/>
      <c r="R15" s="321"/>
      <c r="S15" s="321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</row>
    <row r="16" spans="1:32" ht="15.75" customHeight="1" x14ac:dyDescent="0.3">
      <c r="A16" s="8"/>
      <c r="B16" s="8"/>
      <c r="C16" s="333"/>
      <c r="D16" s="333"/>
      <c r="E16" s="333"/>
      <c r="F16" s="333"/>
      <c r="G16" s="342" t="str">
        <f>Siniviherkerroin!$A$12</f>
        <v>Tontin ala 0!</v>
      </c>
      <c r="H16" s="342"/>
      <c r="I16" s="326" t="str">
        <f>Siniviherkerroin!$C$12</f>
        <v>Tontin ala 0!</v>
      </c>
      <c r="J16" s="326"/>
      <c r="K16" s="93"/>
      <c r="L16" s="321"/>
      <c r="M16" s="321"/>
      <c r="N16" s="321"/>
      <c r="O16" s="321"/>
      <c r="P16" s="321"/>
      <c r="Q16" s="321"/>
      <c r="R16" s="321"/>
      <c r="S16" s="321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</row>
    <row r="17" spans="1:32" ht="25.2" customHeight="1" x14ac:dyDescent="0.3">
      <c r="A17" s="8"/>
      <c r="B17" s="8"/>
      <c r="C17" s="339" t="s">
        <v>103</v>
      </c>
      <c r="D17" s="339"/>
      <c r="E17" s="339"/>
      <c r="F17" s="339"/>
      <c r="G17" s="337" t="str">
        <f>Siniviherkerroin!A15</f>
        <v>Tontin ala 0!</v>
      </c>
      <c r="H17" s="337"/>
      <c r="I17" s="338" t="str">
        <f>Siniviherkerroin!C15</f>
        <v>Tontin ala 0!</v>
      </c>
      <c r="J17" s="338"/>
      <c r="K17" s="93"/>
      <c r="L17" s="321"/>
      <c r="M17" s="321"/>
      <c r="N17" s="321"/>
      <c r="O17" s="321"/>
      <c r="P17" s="321"/>
      <c r="Q17" s="321"/>
      <c r="R17" s="321"/>
      <c r="S17" s="321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</row>
    <row r="18" spans="1:32" ht="15.75" customHeight="1" x14ac:dyDescent="0.35">
      <c r="A18" s="8"/>
      <c r="B18" s="8"/>
      <c r="C18" s="334"/>
      <c r="D18" s="334"/>
      <c r="E18" s="334"/>
      <c r="F18" s="334"/>
      <c r="G18" s="330"/>
      <c r="H18" s="330"/>
      <c r="I18" s="331"/>
      <c r="J18" s="331"/>
      <c r="K18" s="93"/>
      <c r="L18" s="322" t="s">
        <v>80</v>
      </c>
      <c r="M18" s="322"/>
      <c r="N18" s="322"/>
      <c r="O18" s="322"/>
      <c r="P18" s="322"/>
      <c r="Q18" s="134"/>
      <c r="R18" s="134"/>
      <c r="S18" s="134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</row>
    <row r="19" spans="1:32" ht="6" customHeight="1" x14ac:dyDescent="0.3">
      <c r="A19" s="8"/>
      <c r="B19" s="8"/>
      <c r="C19" s="329"/>
      <c r="D19" s="329"/>
      <c r="E19" s="329"/>
      <c r="F19" s="14"/>
      <c r="G19" s="117"/>
      <c r="H19" s="130"/>
      <c r="I19" s="8"/>
      <c r="J19" s="94"/>
      <c r="K19" s="93"/>
      <c r="L19" s="323"/>
      <c r="M19" s="323"/>
      <c r="N19" s="323"/>
      <c r="O19" s="323"/>
      <c r="P19" s="323"/>
      <c r="Q19" s="15"/>
      <c r="R19" s="8"/>
      <c r="S19" s="94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32" ht="25.2" customHeight="1" x14ac:dyDescent="0.3">
      <c r="A20" s="8"/>
      <c r="B20" s="8"/>
      <c r="K20" s="93"/>
      <c r="L20" s="320" t="str">
        <f>Siniviherkerroin!$G$53&amp;IF(Siniviherkerroin!$G$53&lt;&gt;"",CHAR(10),"")&amp;Siniviherkerroin!$G$54&amp;IF(Siniviherkerroin!$G$54&lt;&gt;"",CHAR(10),"")&amp;Siniviherkerroin!$G$55&amp;IF(Siniviherkerroin!$G$55&lt;&gt;"",CHAR(10),"")&amp;Siniviherkerroin!$G$56&amp;IF(Siniviherkerroin!$G$56&lt;&gt;"",CHAR(10),"")&amp;Siniviherkerroin!$G$57&amp;IF(Siniviherkerroin!$G$57&lt;&gt;"",CHAR(10),"")&amp;Siniviherkerroin!$G$58&amp;IF(Siniviherkerroin!$G$58&lt;&gt;"",CHAR(10),"")&amp;Siniviherkerroin!$G$59&amp;IF(Siniviherkerroin!$G$59&lt;&gt;"",CHAR(10),"")&amp;Siniviherkerroin!$G$60&amp;IF(Siniviherkerroin!$G$60&lt;&gt;"",CHAR(10),"")&amp;Siniviherkerroin!$G$61&amp;IF(Siniviherkerroin!$G$61&lt;&gt;"",CHAR(10),"")&amp;Siniviherkerroin!$G$62&amp;IF(Siniviherkerroin!$G$62&lt;&gt;"",CHAR(10),"")&amp;Siniviherkerroin!$G$63&amp;IF(Siniviherkerroin!$G$63&lt;&gt;"",CHAR(10),"")&amp;Siniviherkerroin!$G$64&amp;IF(Siniviherkerroin!$G$64&lt;&gt;"",CHAR(10),"")&amp;Siniviherkerroin!$G$65&amp;IF(Siniviherkerroin!$G$65&lt;&gt;"",CHAR(10),"")</f>
        <v/>
      </c>
      <c r="M20" s="320"/>
      <c r="N20" s="320"/>
      <c r="O20" s="320"/>
      <c r="P20" s="320"/>
      <c r="Q20" s="320"/>
      <c r="R20" s="320"/>
      <c r="S20" s="320"/>
      <c r="T20" s="93"/>
      <c r="U20" s="93"/>
      <c r="V20" s="133"/>
      <c r="W20" s="133"/>
      <c r="X20" s="133"/>
      <c r="Y20" s="133"/>
      <c r="Z20" s="133"/>
      <c r="AA20" s="133"/>
      <c r="AB20" s="133"/>
      <c r="AC20" s="133"/>
      <c r="AD20" s="93"/>
      <c r="AE20" s="93"/>
      <c r="AF20" s="93"/>
    </row>
    <row r="21" spans="1:32" ht="15.75" customHeight="1" x14ac:dyDescent="0.3">
      <c r="A21" s="8"/>
      <c r="B21" s="8"/>
      <c r="K21" s="93"/>
      <c r="L21" s="321"/>
      <c r="M21" s="321"/>
      <c r="N21" s="321"/>
      <c r="O21" s="321"/>
      <c r="P21" s="321"/>
      <c r="Q21" s="321"/>
      <c r="R21" s="321"/>
      <c r="S21" s="321"/>
      <c r="T21" s="93"/>
      <c r="U21" s="93"/>
      <c r="V21" s="133"/>
      <c r="W21" s="133"/>
      <c r="X21" s="133"/>
      <c r="Y21" s="133"/>
      <c r="Z21" s="133"/>
      <c r="AA21" s="133"/>
      <c r="AB21" s="133"/>
      <c r="AC21" s="133"/>
      <c r="AD21" s="93"/>
      <c r="AE21" s="93"/>
      <c r="AF21" s="93"/>
    </row>
    <row r="22" spans="1:32" ht="15.75" customHeight="1" x14ac:dyDescent="0.3">
      <c r="A22" s="8"/>
      <c r="B22" s="8"/>
      <c r="K22" s="93"/>
      <c r="L22" s="321"/>
      <c r="M22" s="321"/>
      <c r="N22" s="321"/>
      <c r="O22" s="321"/>
      <c r="P22" s="321"/>
      <c r="Q22" s="321"/>
      <c r="R22" s="321"/>
      <c r="S22" s="321"/>
      <c r="T22" s="93"/>
      <c r="U22" s="93"/>
      <c r="V22" s="133"/>
      <c r="W22" s="133"/>
      <c r="X22" s="133"/>
      <c r="Y22" s="133"/>
      <c r="Z22" s="133"/>
      <c r="AA22" s="133"/>
      <c r="AB22" s="82"/>
      <c r="AC22" s="82"/>
      <c r="AD22" s="82"/>
      <c r="AE22" s="82"/>
      <c r="AF22" s="82"/>
    </row>
    <row r="23" spans="1:32" ht="15.75" customHeight="1" x14ac:dyDescent="0.3">
      <c r="A23" s="8"/>
      <c r="B23" s="8"/>
      <c r="K23" s="93"/>
      <c r="L23" s="321"/>
      <c r="M23" s="321"/>
      <c r="N23" s="321"/>
      <c r="O23" s="321"/>
      <c r="P23" s="321"/>
      <c r="Q23" s="321"/>
      <c r="R23" s="321"/>
      <c r="S23" s="321"/>
      <c r="T23" s="93"/>
      <c r="U23" s="93"/>
      <c r="V23" s="133"/>
      <c r="W23" s="133"/>
      <c r="X23" s="133"/>
      <c r="Y23" s="133"/>
      <c r="Z23" s="133"/>
      <c r="AA23" s="133"/>
      <c r="AB23" s="82"/>
      <c r="AC23" s="82"/>
      <c r="AD23" s="82"/>
      <c r="AE23" s="82"/>
      <c r="AF23" s="82"/>
    </row>
    <row r="24" spans="1:32" ht="15.75" customHeight="1" x14ac:dyDescent="0.3">
      <c r="A24" s="8"/>
      <c r="B24" s="8"/>
      <c r="K24" s="93"/>
      <c r="L24" s="321"/>
      <c r="M24" s="321"/>
      <c r="N24" s="321"/>
      <c r="O24" s="321"/>
      <c r="P24" s="321"/>
      <c r="Q24" s="321"/>
      <c r="R24" s="321"/>
      <c r="S24" s="321"/>
      <c r="T24" s="93"/>
      <c r="U24" s="93"/>
      <c r="V24" s="133"/>
      <c r="W24" s="133"/>
      <c r="X24" s="133"/>
      <c r="Y24" s="133"/>
      <c r="Z24" s="133"/>
      <c r="AA24" s="133"/>
      <c r="AB24" s="82"/>
      <c r="AC24" s="82"/>
      <c r="AD24" s="82"/>
      <c r="AE24" s="82"/>
      <c r="AF24" s="82"/>
    </row>
    <row r="25" spans="1:32" ht="15.75" customHeight="1" x14ac:dyDescent="0.35">
      <c r="A25" s="8"/>
      <c r="B25" s="8"/>
      <c r="K25" s="93"/>
      <c r="L25" s="321"/>
      <c r="M25" s="321"/>
      <c r="N25" s="321"/>
      <c r="O25" s="321"/>
      <c r="P25" s="321"/>
      <c r="Q25" s="321"/>
      <c r="R25" s="321"/>
      <c r="S25" s="321"/>
      <c r="T25" s="93"/>
      <c r="U25" s="93"/>
      <c r="V25" s="133"/>
      <c r="W25" s="173" t="s">
        <v>26</v>
      </c>
      <c r="X25" s="174" t="s">
        <v>27</v>
      </c>
      <c r="Y25" s="133"/>
      <c r="Z25" s="133"/>
      <c r="AA25" s="133"/>
      <c r="AB25" s="82"/>
      <c r="AC25" s="82"/>
      <c r="AD25" s="82"/>
      <c r="AE25" s="82"/>
      <c r="AF25" s="82"/>
    </row>
    <row r="26" spans="1:32" ht="15.75" customHeight="1" x14ac:dyDescent="0.3">
      <c r="A26" s="8"/>
      <c r="B26" s="8"/>
      <c r="K26" s="93"/>
      <c r="L26" s="321"/>
      <c r="M26" s="321"/>
      <c r="N26" s="321"/>
      <c r="O26" s="321"/>
      <c r="P26" s="321"/>
      <c r="Q26" s="321"/>
      <c r="R26" s="321"/>
      <c r="S26" s="321"/>
      <c r="T26" s="93"/>
      <c r="U26" s="93"/>
      <c r="V26" s="133"/>
      <c r="W26" s="133" t="s">
        <v>40</v>
      </c>
      <c r="X26" s="133">
        <f>SUM(Siniviherkerroin!K2:K6)</f>
        <v>0</v>
      </c>
      <c r="Y26" s="133"/>
      <c r="Z26" s="133"/>
      <c r="AA26" s="133"/>
      <c r="AB26" s="82"/>
      <c r="AC26" s="82"/>
      <c r="AD26" s="82"/>
      <c r="AE26" s="82"/>
      <c r="AF26" s="82"/>
    </row>
    <row r="27" spans="1:32" ht="15.75" customHeight="1" x14ac:dyDescent="0.3">
      <c r="A27" s="8"/>
      <c r="B27" s="8"/>
      <c r="C27" s="135"/>
      <c r="D27" s="135"/>
      <c r="E27" s="135"/>
      <c r="F27" s="135"/>
      <c r="G27" s="135"/>
      <c r="H27" s="135"/>
      <c r="I27" s="8"/>
      <c r="J27" s="94"/>
      <c r="K27" s="93"/>
      <c r="L27" s="321"/>
      <c r="M27" s="321"/>
      <c r="N27" s="321"/>
      <c r="O27" s="321"/>
      <c r="P27" s="321"/>
      <c r="Q27" s="321"/>
      <c r="R27" s="321"/>
      <c r="S27" s="321"/>
      <c r="T27" s="93"/>
      <c r="U27" s="93"/>
      <c r="V27" s="133"/>
      <c r="W27" s="133" t="s">
        <v>41</v>
      </c>
      <c r="X27" s="133">
        <f>SUM(Siniviherkerroin!K7:K19)</f>
        <v>0</v>
      </c>
      <c r="Y27" s="133"/>
      <c r="Z27" s="133"/>
      <c r="AA27" s="133"/>
      <c r="AB27" s="82"/>
      <c r="AC27" s="82"/>
      <c r="AD27" s="82"/>
      <c r="AE27" s="82"/>
      <c r="AF27" s="82"/>
    </row>
    <row r="28" spans="1:32" ht="15.75" customHeight="1" x14ac:dyDescent="0.3">
      <c r="A28" s="8"/>
      <c r="B28" s="8"/>
      <c r="C28" s="135"/>
      <c r="D28" s="135"/>
      <c r="E28" s="135"/>
      <c r="F28" s="135"/>
      <c r="G28" s="135"/>
      <c r="H28" s="135"/>
      <c r="I28" s="8"/>
      <c r="J28" s="94"/>
      <c r="K28" s="93"/>
      <c r="L28" s="321"/>
      <c r="M28" s="321"/>
      <c r="N28" s="321"/>
      <c r="O28" s="321"/>
      <c r="P28" s="321"/>
      <c r="Q28" s="321"/>
      <c r="R28" s="321"/>
      <c r="S28" s="321"/>
      <c r="T28" s="93"/>
      <c r="U28" s="93"/>
      <c r="V28" s="133"/>
      <c r="W28" s="133" t="s">
        <v>60</v>
      </c>
      <c r="X28" s="175">
        <f>Siniviherkerroin!K26</f>
        <v>0</v>
      </c>
      <c r="Y28" s="133"/>
      <c r="Z28" s="133"/>
      <c r="AA28" s="133"/>
      <c r="AB28" s="82"/>
      <c r="AC28" s="82"/>
      <c r="AD28" s="82"/>
      <c r="AE28" s="82"/>
      <c r="AF28" s="82"/>
    </row>
    <row r="29" spans="1:32" ht="15.75" customHeight="1" x14ac:dyDescent="0.3">
      <c r="A29" s="8"/>
      <c r="B29" s="8"/>
      <c r="C29" s="135"/>
      <c r="D29" s="135"/>
      <c r="E29" s="135"/>
      <c r="F29" s="135"/>
      <c r="G29" s="135"/>
      <c r="H29" s="135"/>
      <c r="I29" s="8"/>
      <c r="J29" s="94"/>
      <c r="K29" s="93"/>
      <c r="L29" s="321"/>
      <c r="M29" s="321"/>
      <c r="N29" s="321"/>
      <c r="O29" s="321"/>
      <c r="P29" s="321"/>
      <c r="Q29" s="321"/>
      <c r="R29" s="321"/>
      <c r="S29" s="321"/>
      <c r="T29" s="93"/>
      <c r="U29" s="93"/>
      <c r="V29" s="133"/>
      <c r="W29" s="133" t="s">
        <v>121</v>
      </c>
      <c r="X29" s="133">
        <f>SUM(Siniviherkerroin!K20:K21)</f>
        <v>0</v>
      </c>
      <c r="Y29" s="133"/>
      <c r="Z29" s="133"/>
      <c r="AA29" s="133"/>
      <c r="AB29" s="82"/>
      <c r="AC29" s="82"/>
      <c r="AD29" s="82"/>
      <c r="AE29" s="82"/>
      <c r="AF29" s="82"/>
    </row>
    <row r="30" spans="1:32" ht="15.75" customHeight="1" x14ac:dyDescent="0.3">
      <c r="A30" s="8"/>
      <c r="B30" s="8"/>
      <c r="C30" s="135"/>
      <c r="D30" s="135"/>
      <c r="E30" s="135"/>
      <c r="F30" s="135"/>
      <c r="G30" s="135"/>
      <c r="H30" s="135"/>
      <c r="I30" s="8"/>
      <c r="J30" s="94"/>
      <c r="K30" s="93"/>
      <c r="L30" s="321"/>
      <c r="M30" s="321"/>
      <c r="N30" s="321"/>
      <c r="O30" s="321"/>
      <c r="P30" s="321"/>
      <c r="Q30" s="321"/>
      <c r="R30" s="321"/>
      <c r="S30" s="321"/>
      <c r="T30" s="93"/>
      <c r="U30" s="93"/>
      <c r="V30" s="133"/>
      <c r="W30" s="133" t="s">
        <v>133</v>
      </c>
      <c r="X30" s="133">
        <f>SUM(Siniviherkerroin!K27:K37)</f>
        <v>0</v>
      </c>
      <c r="Y30" s="133"/>
      <c r="Z30" s="133"/>
      <c r="AA30" s="133"/>
      <c r="AB30" s="82"/>
      <c r="AC30" s="82"/>
      <c r="AD30" s="82"/>
      <c r="AE30" s="82"/>
      <c r="AF30" s="82"/>
    </row>
    <row r="31" spans="1:32" ht="15.75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94"/>
      <c r="K31" s="93"/>
      <c r="L31" s="321"/>
      <c r="M31" s="321"/>
      <c r="N31" s="321"/>
      <c r="O31" s="321"/>
      <c r="P31" s="321"/>
      <c r="Q31" s="321"/>
      <c r="R31" s="321"/>
      <c r="S31" s="321"/>
      <c r="T31" s="93"/>
      <c r="U31" s="93"/>
      <c r="V31" s="133"/>
      <c r="W31" s="133"/>
      <c r="X31" s="133"/>
      <c r="Y31" s="133"/>
      <c r="Z31" s="133"/>
      <c r="AA31" s="133"/>
      <c r="AB31" s="82"/>
      <c r="AC31" s="82"/>
      <c r="AD31" s="82"/>
      <c r="AE31" s="82"/>
      <c r="AF31" s="82"/>
    </row>
    <row r="32" spans="1:32" ht="15.75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94"/>
      <c r="K32" s="93"/>
      <c r="L32" s="136"/>
      <c r="M32" s="136"/>
      <c r="N32" s="136"/>
      <c r="O32" s="136"/>
      <c r="P32" s="136"/>
      <c r="Q32" s="136"/>
      <c r="R32" s="136"/>
      <c r="S32" s="136"/>
      <c r="T32" s="93"/>
      <c r="U32" s="93"/>
      <c r="V32" s="133"/>
      <c r="W32" s="133"/>
      <c r="X32" s="133"/>
      <c r="Y32" s="133"/>
      <c r="Z32" s="133"/>
      <c r="AA32" s="133"/>
      <c r="AB32" s="82"/>
      <c r="AC32" s="82"/>
      <c r="AD32" s="82"/>
      <c r="AE32" s="82"/>
      <c r="AF32" s="82"/>
    </row>
    <row r="33" spans="1:32" ht="15.75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94"/>
      <c r="K33" s="93"/>
      <c r="L33" s="131" t="s">
        <v>83</v>
      </c>
      <c r="M33" s="15"/>
      <c r="N33" s="15"/>
      <c r="O33" s="15"/>
      <c r="P33" s="15"/>
      <c r="Q33" s="15"/>
      <c r="R33" s="8"/>
      <c r="S33" s="94"/>
      <c r="T33" s="93"/>
      <c r="U33" s="93"/>
      <c r="V33" s="133"/>
      <c r="W33" s="173"/>
      <c r="X33" s="174"/>
      <c r="Y33" s="133"/>
      <c r="Z33" s="133"/>
      <c r="AA33" s="133"/>
      <c r="AB33" s="82"/>
      <c r="AC33" s="82"/>
      <c r="AD33" s="82"/>
      <c r="AE33" s="82"/>
      <c r="AF33" s="82"/>
    </row>
    <row r="34" spans="1:32" ht="15.75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94"/>
      <c r="K34" s="93"/>
      <c r="L34" s="320" t="str">
        <f>Siniviherkerroin!$G$66&amp;IF(Siniviherkerroin!$G$66&lt;&gt;"",CHAR(10),"")&amp;Siniviherkerroin!$G$67&amp;IF(Siniviherkerroin!$G$67&lt;&gt;"",CHAR(10),"")</f>
        <v/>
      </c>
      <c r="M34" s="320"/>
      <c r="N34" s="320"/>
      <c r="O34" s="320"/>
      <c r="P34" s="320"/>
      <c r="Q34" s="320"/>
      <c r="R34" s="320"/>
      <c r="S34" s="320"/>
      <c r="T34" s="93"/>
      <c r="U34" s="93"/>
      <c r="V34" s="133"/>
      <c r="W34" s="133" t="s">
        <v>28</v>
      </c>
      <c r="X34" s="176">
        <f>'Tontin tiedot'!D5/100</f>
        <v>0</v>
      </c>
      <c r="Y34" s="133"/>
      <c r="Z34" s="133"/>
      <c r="AA34" s="133"/>
      <c r="AB34" s="82"/>
      <c r="AC34" s="82"/>
      <c r="AD34" s="82"/>
      <c r="AE34" s="82"/>
      <c r="AF34" s="82"/>
    </row>
    <row r="35" spans="1:32" ht="15.7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94"/>
      <c r="K35" s="93"/>
      <c r="L35" s="321"/>
      <c r="M35" s="321"/>
      <c r="N35" s="321"/>
      <c r="O35" s="321"/>
      <c r="P35" s="321"/>
      <c r="Q35" s="321"/>
      <c r="R35" s="321"/>
      <c r="S35" s="321"/>
      <c r="T35" s="93"/>
      <c r="U35" s="93"/>
      <c r="V35" s="133"/>
      <c r="W35" s="133" t="s">
        <v>29</v>
      </c>
      <c r="X35" s="173" t="s">
        <v>61</v>
      </c>
      <c r="Y35" s="133"/>
      <c r="Z35" s="133"/>
      <c r="AA35" s="133"/>
      <c r="AB35" s="82"/>
      <c r="AC35" s="82"/>
      <c r="AD35" s="82"/>
      <c r="AE35" s="82"/>
      <c r="AF35" s="82"/>
    </row>
    <row r="36" spans="1:32" ht="15.75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94"/>
      <c r="K36" s="93"/>
      <c r="L36" s="321"/>
      <c r="M36" s="321"/>
      <c r="N36" s="321"/>
      <c r="O36" s="321"/>
      <c r="P36" s="321"/>
      <c r="Q36" s="321"/>
      <c r="R36" s="321"/>
      <c r="S36" s="321"/>
      <c r="T36" s="93"/>
      <c r="U36" s="93"/>
      <c r="V36" s="133"/>
      <c r="W36" s="133" t="s">
        <v>134</v>
      </c>
      <c r="X36" s="176" t="e">
        <f>X34-#REF!</f>
        <v>#REF!</v>
      </c>
      <c r="Y36" s="133"/>
      <c r="Z36" s="133"/>
      <c r="AA36" s="133"/>
      <c r="AB36" s="82"/>
      <c r="AC36" s="82"/>
      <c r="AD36" s="82"/>
      <c r="AE36" s="82"/>
      <c r="AF36" s="82"/>
    </row>
    <row r="37" spans="1:32" ht="15.7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94"/>
      <c r="K37" s="93"/>
      <c r="L37" s="137"/>
      <c r="M37" s="137"/>
      <c r="N37" s="137"/>
      <c r="O37" s="137"/>
      <c r="P37" s="137"/>
      <c r="Q37" s="137"/>
      <c r="R37" s="137"/>
      <c r="S37" s="137"/>
      <c r="T37" s="93"/>
      <c r="U37" s="93"/>
      <c r="V37" s="133"/>
      <c r="W37" s="133" t="s">
        <v>135</v>
      </c>
      <c r="X37" s="133" t="e">
        <f>#REF!</f>
        <v>#REF!</v>
      </c>
      <c r="Y37" s="133"/>
      <c r="Z37" s="133"/>
      <c r="AA37" s="133"/>
      <c r="AB37" s="82"/>
      <c r="AC37" s="82"/>
      <c r="AD37" s="82"/>
      <c r="AE37" s="82"/>
      <c r="AF37" s="82"/>
    </row>
    <row r="38" spans="1:32" ht="15.75" customHeight="1" x14ac:dyDescent="0.4">
      <c r="A38" s="8"/>
      <c r="B38" s="8"/>
      <c r="C38" s="8"/>
      <c r="D38" s="8"/>
      <c r="E38" s="8"/>
      <c r="F38" s="8"/>
      <c r="G38" s="8"/>
      <c r="H38" s="8"/>
      <c r="I38" s="8"/>
      <c r="J38" s="94"/>
      <c r="K38" s="93"/>
      <c r="L38" s="131" t="s">
        <v>82</v>
      </c>
      <c r="M38" s="15"/>
      <c r="N38" s="15"/>
      <c r="O38" s="15"/>
      <c r="P38" s="15"/>
      <c r="Q38" s="15"/>
      <c r="R38" s="8"/>
      <c r="S38" s="94"/>
      <c r="T38" s="93"/>
      <c r="U38" s="93"/>
      <c r="V38" s="133"/>
      <c r="W38" s="133" t="s">
        <v>136</v>
      </c>
      <c r="X38" s="176" t="e">
        <f>IF(X41&gt;0,X41,0)</f>
        <v>#REF!</v>
      </c>
      <c r="Y38" s="133"/>
      <c r="Z38" s="133"/>
      <c r="AA38" s="133"/>
      <c r="AB38" s="82"/>
      <c r="AC38" s="82"/>
      <c r="AD38" s="82"/>
      <c r="AE38" s="82"/>
      <c r="AF38" s="82"/>
    </row>
    <row r="39" spans="1:32" ht="15.75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94"/>
      <c r="K39" s="93"/>
      <c r="L39" s="320" t="str">
        <f>Siniviherkerroin!$G$68&amp;IF(Siniviherkerroin!$G$68&lt;&gt;"",CHAR(10),"")</f>
        <v xml:space="preserve">Tontin ala 0! m² - Läpäisemätön pinta-ala. Taulukko laskee tämän automaattisesti.
</v>
      </c>
      <c r="M39" s="320"/>
      <c r="N39" s="320"/>
      <c r="O39" s="320"/>
      <c r="P39" s="320"/>
      <c r="Q39" s="320"/>
      <c r="R39" s="320"/>
      <c r="S39" s="320"/>
      <c r="T39" s="93"/>
      <c r="U39" s="93"/>
      <c r="V39" s="133"/>
      <c r="W39" s="133"/>
      <c r="X39" s="133"/>
      <c r="Y39" s="133"/>
      <c r="Z39" s="133"/>
      <c r="AA39" s="133"/>
      <c r="AB39" s="82"/>
      <c r="AC39" s="82"/>
      <c r="AD39" s="82"/>
      <c r="AE39" s="82"/>
      <c r="AF39" s="82"/>
    </row>
    <row r="40" spans="1:32" ht="15.75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94"/>
      <c r="K40" s="93"/>
      <c r="L40" s="136"/>
      <c r="M40" s="136"/>
      <c r="N40" s="136"/>
      <c r="O40" s="136"/>
      <c r="P40" s="136"/>
      <c r="Q40" s="136"/>
      <c r="R40" s="136"/>
      <c r="S40" s="136"/>
      <c r="T40" s="93"/>
      <c r="U40" s="93"/>
      <c r="V40" s="133"/>
      <c r="W40" s="133"/>
      <c r="X40" s="133"/>
      <c r="Y40" s="133"/>
      <c r="Z40" s="133"/>
      <c r="AA40" s="133"/>
      <c r="AB40" s="82"/>
      <c r="AC40" s="82"/>
      <c r="AD40" s="82"/>
      <c r="AE40" s="82"/>
      <c r="AF40" s="82"/>
    </row>
    <row r="41" spans="1:32" ht="15.75" customHeight="1" x14ac:dyDescent="0.4">
      <c r="A41" s="8"/>
      <c r="B41" s="8"/>
      <c r="C41" s="160" t="s">
        <v>84</v>
      </c>
      <c r="D41" s="161"/>
      <c r="E41" s="161"/>
      <c r="F41" s="161"/>
      <c r="G41" s="161"/>
      <c r="H41" s="161"/>
      <c r="I41" s="67"/>
      <c r="J41" s="67"/>
      <c r="K41" s="93"/>
      <c r="L41" s="131" t="s">
        <v>81</v>
      </c>
      <c r="M41" s="15"/>
      <c r="N41" s="15"/>
      <c r="O41" s="15"/>
      <c r="P41" s="15"/>
      <c r="Q41" s="15"/>
      <c r="R41" s="8"/>
      <c r="S41" s="94"/>
      <c r="T41" s="93"/>
      <c r="U41" s="93"/>
      <c r="V41" s="133"/>
      <c r="W41" s="133"/>
      <c r="X41" s="176" t="e">
        <f>#REF!-#REF!</f>
        <v>#REF!</v>
      </c>
      <c r="Y41" s="133"/>
      <c r="Z41" s="133"/>
      <c r="AA41" s="133"/>
      <c r="AB41" s="82"/>
      <c r="AC41" s="82"/>
      <c r="AD41" s="82"/>
      <c r="AE41" s="82"/>
      <c r="AF41" s="82"/>
    </row>
    <row r="42" spans="1:32" ht="15.75" customHeight="1" x14ac:dyDescent="0.3">
      <c r="A42" s="8"/>
      <c r="B42" s="8"/>
      <c r="C42" s="324" t="str">
        <f>'Tontin tiedot'!B29</f>
        <v xml:space="preserve">- Täytä solu Rakennusten peittopinta-alasta Tontin tietojen välilehdellä.
- Täytä solu Tontin alasta Tontin tietojen välilehdellä.
- Tarkista, vaaditaanko tontilla läpäisevän pinta-alan vähimmäisosuus.
- Huleveden viivytys noudatetaan ohjeellisena.
- Tarkista, vaaditaanko tontilla viherkerrointa ja mikä on sen tavoitetaso.
</v>
      </c>
      <c r="D42" s="324"/>
      <c r="E42" s="324"/>
      <c r="F42" s="324"/>
      <c r="G42" s="324"/>
      <c r="H42" s="324"/>
      <c r="I42" s="324"/>
      <c r="J42" s="324"/>
      <c r="K42" s="93"/>
      <c r="L42" s="318" t="str">
        <f>Siniviherkerroin!$G$47&amp;IF(Siniviherkerroin!$G$47&lt;&gt;"",CHAR(10),"")&amp;Siniviherkerroin!$G$69&amp;IF(Siniviherkerroin!$G$69&lt;&gt;"",CHAR(10),"")&amp;Siniviherkerroin!$G$70&amp;IF(Siniviherkerroin!$G$70&lt;&gt;"",CHAR(10),"")&amp;Siniviherkerroin!$G$71&amp;IF(Siniviherkerroin!$G$71&lt;&gt;"",CHAR(10),"")&amp;Siniviherkerroin!$G$72&amp;IF(Siniviherkerroin!$G$72&lt;&gt;"",CHAR(10),"")&amp;Siniviherkerroin!$G$73&amp;IF(Siniviherkerroin!$G$73&lt;&gt;"",CHAR(10),"")&amp;Siniviherkerroin!$G$74&amp;IF(Siniviherkerroin!$G$74&lt;&gt;"",CHAR(10),"")&amp;Siniviherkerroin!$G$75&amp;IF(Siniviherkerroin!$G$75&lt;&gt;"",CHAR(10),"")&amp;Siniviherkerroin!$G$76&amp;IF(Siniviherkerroin!$G$76&lt;&gt;"",CHAR(10),"")&amp;Siniviherkerroin!$G$77&amp;IF(Siniviherkerroin!$G$77&lt;&gt;"",CHAR(10),"")&amp;Siniviherkerroin!$G$78&amp;IF(Siniviherkerroin!$G$78&lt;&gt;"",CHAR(10),"")</f>
        <v/>
      </c>
      <c r="M42" s="318"/>
      <c r="N42" s="318"/>
      <c r="O42" s="318"/>
      <c r="P42" s="318"/>
      <c r="Q42" s="318"/>
      <c r="R42" s="318"/>
      <c r="S42" s="318"/>
      <c r="T42" s="93"/>
      <c r="U42" s="93"/>
      <c r="V42" s="133"/>
      <c r="W42" s="133"/>
      <c r="X42" s="133"/>
      <c r="Y42" s="133"/>
      <c r="Z42" s="133"/>
      <c r="AA42" s="133"/>
      <c r="AB42" s="82"/>
      <c r="AC42" s="82"/>
      <c r="AD42" s="82"/>
      <c r="AE42" s="82"/>
      <c r="AF42" s="82"/>
    </row>
    <row r="43" spans="1:32" ht="15.75" customHeight="1" x14ac:dyDescent="0.3">
      <c r="A43" s="8"/>
      <c r="B43" s="8"/>
      <c r="C43" s="325"/>
      <c r="D43" s="325"/>
      <c r="E43" s="325"/>
      <c r="F43" s="325"/>
      <c r="G43" s="325"/>
      <c r="H43" s="325"/>
      <c r="I43" s="325"/>
      <c r="J43" s="325"/>
      <c r="K43" s="93"/>
      <c r="L43" s="319"/>
      <c r="M43" s="319"/>
      <c r="N43" s="319"/>
      <c r="O43" s="319"/>
      <c r="P43" s="319"/>
      <c r="Q43" s="319"/>
      <c r="R43" s="319"/>
      <c r="S43" s="319"/>
      <c r="T43" s="93"/>
      <c r="U43" s="93"/>
      <c r="V43" s="133"/>
      <c r="W43" s="133"/>
      <c r="X43" s="133"/>
      <c r="Y43" s="133"/>
      <c r="Z43" s="133"/>
      <c r="AA43" s="133"/>
      <c r="AB43" s="82"/>
      <c r="AC43" s="82"/>
      <c r="AD43" s="82"/>
      <c r="AE43" s="82"/>
      <c r="AF43" s="82"/>
    </row>
    <row r="44" spans="1:32" ht="15.75" customHeight="1" x14ac:dyDescent="0.3">
      <c r="A44" s="8"/>
      <c r="B44" s="8"/>
      <c r="C44" s="325"/>
      <c r="D44" s="325"/>
      <c r="E44" s="325"/>
      <c r="F44" s="325"/>
      <c r="G44" s="325"/>
      <c r="H44" s="325"/>
      <c r="I44" s="325"/>
      <c r="J44" s="325"/>
      <c r="K44" s="93"/>
      <c r="L44" s="319"/>
      <c r="M44" s="319"/>
      <c r="N44" s="319"/>
      <c r="O44" s="319"/>
      <c r="P44" s="319"/>
      <c r="Q44" s="319"/>
      <c r="R44" s="319"/>
      <c r="S44" s="319"/>
      <c r="T44" s="93"/>
      <c r="U44" s="93"/>
      <c r="V44" s="133"/>
      <c r="W44" s="133"/>
      <c r="X44" s="133"/>
      <c r="Y44" s="133"/>
      <c r="Z44" s="133"/>
      <c r="AA44" s="133"/>
      <c r="AB44" s="82"/>
      <c r="AC44" s="82"/>
      <c r="AD44" s="82"/>
      <c r="AE44" s="82"/>
      <c r="AF44" s="82"/>
    </row>
    <row r="45" spans="1:32" ht="15.75" customHeight="1" x14ac:dyDescent="0.3">
      <c r="A45" s="8"/>
      <c r="B45" s="8"/>
      <c r="C45" s="325"/>
      <c r="D45" s="325"/>
      <c r="E45" s="325"/>
      <c r="F45" s="325"/>
      <c r="G45" s="325"/>
      <c r="H45" s="325"/>
      <c r="I45" s="325"/>
      <c r="J45" s="325"/>
      <c r="K45" s="93"/>
      <c r="L45" s="319"/>
      <c r="M45" s="319"/>
      <c r="N45" s="319"/>
      <c r="O45" s="319"/>
      <c r="P45" s="319"/>
      <c r="Q45" s="319"/>
      <c r="R45" s="319"/>
      <c r="S45" s="319"/>
      <c r="T45" s="93"/>
      <c r="U45" s="93"/>
      <c r="V45" s="133"/>
      <c r="W45" s="133"/>
      <c r="X45" s="133"/>
      <c r="Y45" s="133"/>
      <c r="Z45" s="133"/>
      <c r="AA45" s="133"/>
      <c r="AB45" s="82"/>
      <c r="AC45" s="82"/>
      <c r="AD45" s="82"/>
      <c r="AE45" s="82"/>
      <c r="AF45" s="82"/>
    </row>
    <row r="46" spans="1:32" ht="15.75" customHeight="1" x14ac:dyDescent="0.3">
      <c r="A46" s="8"/>
      <c r="B46" s="8"/>
      <c r="C46" s="325"/>
      <c r="D46" s="325"/>
      <c r="E46" s="325"/>
      <c r="F46" s="325"/>
      <c r="G46" s="325"/>
      <c r="H46" s="325"/>
      <c r="I46" s="325"/>
      <c r="J46" s="325"/>
      <c r="K46" s="93"/>
      <c r="L46" s="319"/>
      <c r="M46" s="319"/>
      <c r="N46" s="319"/>
      <c r="O46" s="319"/>
      <c r="P46" s="319"/>
      <c r="Q46" s="319"/>
      <c r="R46" s="319"/>
      <c r="S46" s="319"/>
      <c r="T46" s="93"/>
      <c r="U46" s="93"/>
      <c r="V46" s="133"/>
      <c r="W46" s="133"/>
      <c r="X46" s="133"/>
      <c r="Y46" s="133"/>
      <c r="Z46" s="133"/>
      <c r="AA46" s="133"/>
      <c r="AB46" s="82"/>
      <c r="AC46" s="82"/>
      <c r="AD46" s="82"/>
      <c r="AE46" s="82"/>
      <c r="AF46" s="82"/>
    </row>
    <row r="47" spans="1:32" ht="15.75" customHeight="1" x14ac:dyDescent="0.3">
      <c r="A47" s="8"/>
      <c r="B47" s="8"/>
      <c r="C47" s="325"/>
      <c r="D47" s="325"/>
      <c r="E47" s="325"/>
      <c r="F47" s="325"/>
      <c r="G47" s="325"/>
      <c r="H47" s="325"/>
      <c r="I47" s="325"/>
      <c r="J47" s="325"/>
      <c r="K47" s="93"/>
      <c r="L47" s="319"/>
      <c r="M47" s="319"/>
      <c r="N47" s="319"/>
      <c r="O47" s="319"/>
      <c r="P47" s="319"/>
      <c r="Q47" s="319"/>
      <c r="R47" s="319"/>
      <c r="S47" s="319"/>
      <c r="T47" s="93"/>
      <c r="U47" s="93"/>
      <c r="V47" s="133"/>
      <c r="W47" s="133"/>
      <c r="X47" s="133"/>
      <c r="Y47" s="133"/>
      <c r="Z47" s="133"/>
      <c r="AA47" s="133"/>
      <c r="AB47" s="82"/>
      <c r="AC47" s="82"/>
      <c r="AD47" s="82"/>
      <c r="AE47" s="82"/>
      <c r="AF47" s="82"/>
    </row>
    <row r="48" spans="1:32" ht="15.75" customHeight="1" x14ac:dyDescent="0.3">
      <c r="A48" s="8"/>
      <c r="B48" s="8"/>
      <c r="K48" s="93"/>
      <c r="L48" s="319"/>
      <c r="M48" s="319"/>
      <c r="N48" s="319"/>
      <c r="O48" s="319"/>
      <c r="P48" s="319"/>
      <c r="Q48" s="319"/>
      <c r="R48" s="319"/>
      <c r="S48" s="319"/>
      <c r="T48" s="93"/>
      <c r="U48" s="93"/>
      <c r="V48" s="82"/>
      <c r="W48" s="82"/>
      <c r="X48" s="82"/>
      <c r="Y48" s="82"/>
      <c r="Z48" s="82"/>
      <c r="AA48" s="82"/>
      <c r="AB48" s="82"/>
      <c r="AC48" s="82"/>
      <c r="AD48" s="82"/>
      <c r="AE48" s="93"/>
      <c r="AF48" s="93"/>
    </row>
    <row r="49" spans="1:32" ht="15.75" customHeight="1" x14ac:dyDescent="0.4">
      <c r="A49" s="8"/>
      <c r="B49" s="8"/>
      <c r="C49" s="131" t="s">
        <v>73</v>
      </c>
      <c r="D49" s="15"/>
      <c r="E49" s="15"/>
      <c r="F49" s="15"/>
      <c r="G49" s="15"/>
      <c r="H49" s="15"/>
      <c r="I49" s="8"/>
      <c r="J49" s="94"/>
      <c r="K49" s="93"/>
      <c r="L49" s="319"/>
      <c r="M49" s="319"/>
      <c r="N49" s="319"/>
      <c r="O49" s="319"/>
      <c r="P49" s="319"/>
      <c r="Q49" s="319"/>
      <c r="R49" s="319"/>
      <c r="S49" s="319"/>
      <c r="T49" s="93"/>
      <c r="U49" s="93"/>
      <c r="V49" s="82"/>
      <c r="W49" s="82"/>
      <c r="X49" s="82"/>
      <c r="Y49" s="82"/>
      <c r="Z49" s="82"/>
      <c r="AA49" s="82"/>
      <c r="AB49" s="82"/>
      <c r="AC49" s="82"/>
      <c r="AD49" s="82"/>
      <c r="AE49" s="93"/>
      <c r="AF49" s="93"/>
    </row>
    <row r="50" spans="1:32" ht="15.75" customHeight="1" x14ac:dyDescent="0.3">
      <c r="A50" s="8"/>
      <c r="B50" s="8"/>
      <c r="C50" s="318" t="str">
        <f>Siniviherkerroin!G43&amp;IF(Siniviherkerroin!G43&lt;&gt;"",CHAR(10),"")&amp;Siniviherkerroin!G44&amp;IF(Siniviherkerroin!G44&lt;&gt;"",CHAR(10),"")&amp;Siniviherkerroin!G45&amp;IF(Siniviherkerroin!G45&lt;&gt;"",CHAR(10),"")&amp;Siniviherkerroin!G46&amp;IF(Siniviherkerroin!G46&lt;&gt;"",CHAR(10),"")</f>
        <v/>
      </c>
      <c r="D50" s="318"/>
      <c r="E50" s="318"/>
      <c r="F50" s="318"/>
      <c r="G50" s="318"/>
      <c r="H50" s="318"/>
      <c r="I50" s="318"/>
      <c r="J50" s="318"/>
      <c r="K50" s="93"/>
      <c r="L50" s="319"/>
      <c r="M50" s="319"/>
      <c r="N50" s="319"/>
      <c r="O50" s="319"/>
      <c r="P50" s="319"/>
      <c r="Q50" s="319"/>
      <c r="R50" s="319"/>
      <c r="S50" s="319"/>
      <c r="T50" s="93"/>
      <c r="U50" s="93"/>
      <c r="V50" s="82"/>
      <c r="W50" s="82"/>
      <c r="X50" s="82"/>
      <c r="Y50" s="82"/>
      <c r="Z50" s="82"/>
      <c r="AA50" s="82"/>
      <c r="AB50" s="82"/>
      <c r="AC50" s="82"/>
      <c r="AD50" s="82"/>
      <c r="AE50" s="93"/>
      <c r="AF50" s="93"/>
    </row>
    <row r="51" spans="1:32" ht="15.75" customHeight="1" x14ac:dyDescent="0.3">
      <c r="A51" s="8"/>
      <c r="B51" s="8"/>
      <c r="C51" s="319"/>
      <c r="D51" s="319"/>
      <c r="E51" s="319"/>
      <c r="F51" s="319"/>
      <c r="G51" s="319"/>
      <c r="H51" s="319"/>
      <c r="I51" s="319"/>
      <c r="J51" s="319"/>
      <c r="K51" s="93"/>
      <c r="L51" s="319"/>
      <c r="M51" s="319"/>
      <c r="N51" s="319"/>
      <c r="O51" s="319"/>
      <c r="P51" s="319"/>
      <c r="Q51" s="319"/>
      <c r="R51" s="319"/>
      <c r="S51" s="319"/>
      <c r="T51" s="93"/>
      <c r="U51" s="93"/>
      <c r="V51" s="93"/>
      <c r="W51" s="133"/>
      <c r="X51" s="133"/>
      <c r="Y51" s="133"/>
      <c r="Z51" s="133"/>
      <c r="AA51" s="133"/>
      <c r="AB51" s="133"/>
      <c r="AC51" s="93"/>
      <c r="AD51" s="93"/>
      <c r="AE51" s="93"/>
      <c r="AF51" s="93"/>
    </row>
    <row r="52" spans="1:32" ht="15.75" customHeight="1" x14ac:dyDescent="0.3">
      <c r="A52" s="8"/>
      <c r="B52" s="8"/>
      <c r="C52" s="319"/>
      <c r="D52" s="319"/>
      <c r="E52" s="319"/>
      <c r="F52" s="319"/>
      <c r="G52" s="319"/>
      <c r="H52" s="319"/>
      <c r="I52" s="319"/>
      <c r="J52" s="319"/>
      <c r="K52" s="93"/>
      <c r="L52" s="319"/>
      <c r="M52" s="319"/>
      <c r="N52" s="319"/>
      <c r="O52" s="319"/>
      <c r="P52" s="319"/>
      <c r="Q52" s="319"/>
      <c r="R52" s="319"/>
      <c r="S52" s="319"/>
      <c r="T52" s="93"/>
      <c r="U52" s="93"/>
      <c r="V52" s="93"/>
      <c r="W52" s="133"/>
      <c r="X52" s="133"/>
      <c r="Y52" s="133"/>
      <c r="Z52" s="133"/>
      <c r="AA52" s="133"/>
      <c r="AB52" s="133"/>
      <c r="AC52" s="93"/>
      <c r="AD52" s="93"/>
      <c r="AE52" s="93"/>
      <c r="AF52" s="93"/>
    </row>
    <row r="53" spans="1:32" ht="15.75" customHeight="1" x14ac:dyDescent="0.3">
      <c r="A53" s="8"/>
      <c r="B53" s="8"/>
      <c r="C53" s="319"/>
      <c r="D53" s="319"/>
      <c r="E53" s="319"/>
      <c r="F53" s="319"/>
      <c r="G53" s="319"/>
      <c r="H53" s="319"/>
      <c r="I53" s="319"/>
      <c r="J53" s="319"/>
      <c r="K53" s="93"/>
      <c r="L53" s="319"/>
      <c r="M53" s="319"/>
      <c r="N53" s="319"/>
      <c r="O53" s="319"/>
      <c r="P53" s="319"/>
      <c r="Q53" s="319"/>
      <c r="R53" s="319"/>
      <c r="S53" s="319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</row>
    <row r="54" spans="1:32" ht="15.75" customHeight="1" x14ac:dyDescent="0.3">
      <c r="A54" s="8"/>
      <c r="B54" s="8"/>
      <c r="C54" s="319"/>
      <c r="D54" s="319"/>
      <c r="E54" s="319"/>
      <c r="F54" s="319"/>
      <c r="G54" s="319"/>
      <c r="H54" s="319"/>
      <c r="I54" s="319"/>
      <c r="J54" s="319"/>
      <c r="K54" s="93"/>
      <c r="L54" s="319"/>
      <c r="M54" s="319"/>
      <c r="N54" s="319"/>
      <c r="O54" s="319"/>
      <c r="P54" s="319"/>
      <c r="Q54" s="319"/>
      <c r="R54" s="319"/>
      <c r="S54" s="319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</row>
    <row r="55" spans="1:32" ht="15.75" customHeight="1" x14ac:dyDescent="0.3">
      <c r="A55" s="8"/>
      <c r="B55" s="8"/>
      <c r="C55" s="319"/>
      <c r="D55" s="319"/>
      <c r="E55" s="319"/>
      <c r="F55" s="319"/>
      <c r="G55" s="319"/>
      <c r="H55" s="319"/>
      <c r="I55" s="319"/>
      <c r="J55" s="319"/>
      <c r="N55" s="316" t="s">
        <v>137</v>
      </c>
      <c r="O55" s="317"/>
      <c r="P55" s="317"/>
      <c r="Q55" s="317"/>
      <c r="R55" s="317"/>
      <c r="S55" s="317"/>
      <c r="T55" s="317"/>
    </row>
    <row r="56" spans="1:32" ht="15.75" customHeight="1" x14ac:dyDescent="0.3">
      <c r="A56" s="8"/>
      <c r="B56" s="8"/>
      <c r="N56" s="317"/>
      <c r="O56" s="317"/>
      <c r="P56" s="317"/>
      <c r="Q56" s="317"/>
      <c r="R56" s="317"/>
      <c r="S56" s="317"/>
      <c r="T56" s="317"/>
    </row>
    <row r="57" spans="1:32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L57" s="8"/>
      <c r="M57" s="8"/>
      <c r="N57" s="317"/>
      <c r="O57" s="317"/>
      <c r="P57" s="317"/>
      <c r="Q57" s="317"/>
      <c r="R57" s="317"/>
      <c r="S57" s="317"/>
      <c r="T57" s="317"/>
    </row>
    <row r="58" spans="1:32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L58" s="8"/>
      <c r="M58" s="8"/>
      <c r="N58" s="8"/>
      <c r="O58" s="8"/>
      <c r="P58" s="8"/>
      <c r="Q58" s="8"/>
      <c r="R58" s="8"/>
      <c r="S58" s="8"/>
    </row>
    <row r="59" spans="1:32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L59" s="8"/>
      <c r="M59" s="8"/>
      <c r="N59" s="8"/>
      <c r="O59" s="8"/>
      <c r="P59" s="8"/>
      <c r="Q59" s="8"/>
      <c r="R59" s="8"/>
      <c r="S59" s="8"/>
    </row>
    <row r="60" spans="1:32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L60" s="8"/>
      <c r="M60" s="8"/>
      <c r="N60" s="8"/>
      <c r="O60" s="8"/>
      <c r="P60" s="8"/>
      <c r="Q60" s="8"/>
      <c r="R60" s="8"/>
      <c r="S60" s="8"/>
    </row>
    <row r="61" spans="1:32" x14ac:dyDescent="0.3">
      <c r="A61" s="8"/>
      <c r="B61" s="8"/>
      <c r="C61" s="16"/>
      <c r="D61" s="16"/>
      <c r="E61" s="8"/>
      <c r="F61" s="8"/>
      <c r="G61" s="8"/>
      <c r="H61" s="8"/>
      <c r="I61" s="8"/>
      <c r="J61" s="8"/>
      <c r="L61" s="16"/>
      <c r="M61" s="16"/>
      <c r="N61" s="8"/>
      <c r="O61" s="8"/>
      <c r="P61" s="8"/>
      <c r="Q61" s="8"/>
      <c r="R61" s="8"/>
      <c r="S61" s="8"/>
    </row>
    <row r="62" spans="1:32" x14ac:dyDescent="0.3">
      <c r="A62" s="8"/>
      <c r="B62" s="8"/>
      <c r="C62" s="8"/>
      <c r="D62" s="8"/>
      <c r="E62" s="8"/>
      <c r="F62" s="8"/>
      <c r="G62" s="8"/>
      <c r="H62" s="8"/>
      <c r="I62" s="8"/>
      <c r="L62" s="8"/>
      <c r="M62" s="8"/>
      <c r="N62" s="8"/>
      <c r="O62" s="8"/>
      <c r="P62" s="8"/>
      <c r="Q62" s="8"/>
      <c r="R62" s="8"/>
    </row>
  </sheetData>
  <sheetProtection algorithmName="SHA-512" hashValue="hF0bRvGXpBp3mWIUSGAmP5Gm4q5duWpeh03fNAVEKYTO5rhm2P+iYqtZxoENmJUpe/cdaMV5/v9c4oZg0r8qUQ==" saltValue="jWuLlAylriBt9JvJpdxnJg==" spinCount="100000" sheet="1" objects="1" scenarios="1"/>
  <mergeCells count="51">
    <mergeCell ref="E3:G3"/>
    <mergeCell ref="D5:E5"/>
    <mergeCell ref="D9:F9"/>
    <mergeCell ref="L3:T3"/>
    <mergeCell ref="L1:M2"/>
    <mergeCell ref="R5:S5"/>
    <mergeCell ref="C1:D2"/>
    <mergeCell ref="C7:C8"/>
    <mergeCell ref="L6:L7"/>
    <mergeCell ref="P8:Q8"/>
    <mergeCell ref="J5:K5"/>
    <mergeCell ref="Q7:S7"/>
    <mergeCell ref="H7:K7"/>
    <mergeCell ref="D8:E8"/>
    <mergeCell ref="I17:J17"/>
    <mergeCell ref="C17:F17"/>
    <mergeCell ref="L9:M9"/>
    <mergeCell ref="P9:Q9"/>
    <mergeCell ref="R6:S6"/>
    <mergeCell ref="H8:J8"/>
    <mergeCell ref="G16:H16"/>
    <mergeCell ref="C14:F14"/>
    <mergeCell ref="G14:H14"/>
    <mergeCell ref="D10:F10"/>
    <mergeCell ref="G10:H10"/>
    <mergeCell ref="G12:H12"/>
    <mergeCell ref="G13:H13"/>
    <mergeCell ref="C12:E12"/>
    <mergeCell ref="C11:D11"/>
    <mergeCell ref="G11:H11"/>
    <mergeCell ref="L12:S17"/>
    <mergeCell ref="L18:P19"/>
    <mergeCell ref="C50:J55"/>
    <mergeCell ref="C42:J47"/>
    <mergeCell ref="I16:J16"/>
    <mergeCell ref="C13:F13"/>
    <mergeCell ref="I15:J15"/>
    <mergeCell ref="C19:E19"/>
    <mergeCell ref="G18:H18"/>
    <mergeCell ref="I18:J18"/>
    <mergeCell ref="I13:J13"/>
    <mergeCell ref="C15:F16"/>
    <mergeCell ref="C18:F18"/>
    <mergeCell ref="G15:H15"/>
    <mergeCell ref="I14:J14"/>
    <mergeCell ref="G17:H17"/>
    <mergeCell ref="N55:T57"/>
    <mergeCell ref="L42:S54"/>
    <mergeCell ref="L20:S31"/>
    <mergeCell ref="L34:S36"/>
    <mergeCell ref="L39:S39"/>
  </mergeCells>
  <conditionalFormatting sqref="G16">
    <cfRule type="containsText" dxfId="18" priority="44" operator="containsText" text="Tontin ala 0!">
      <formula>NOT(ISERROR(SEARCH("Tontin ala 0!",G16)))</formula>
    </cfRule>
  </conditionalFormatting>
  <conditionalFormatting sqref="G15">
    <cfRule type="containsText" dxfId="17" priority="43" operator="containsText" text="Tontin">
      <formula>NOT(ISERROR(SEARCH("Tontin",G15)))</formula>
    </cfRule>
  </conditionalFormatting>
  <conditionalFormatting sqref="G15:H15">
    <cfRule type="cellIs" dxfId="16" priority="42" operator="lessThan">
      <formula>E15</formula>
    </cfRule>
  </conditionalFormatting>
  <conditionalFormatting sqref="G18">
    <cfRule type="containsText" dxfId="15" priority="37" operator="containsText" text="Tontin">
      <formula>NOT(ISERROR(SEARCH("Tontin",G18)))</formula>
    </cfRule>
    <cfRule type="cellIs" dxfId="14" priority="38" operator="lessThan">
      <formula>E18</formula>
    </cfRule>
  </conditionalFormatting>
  <conditionalFormatting sqref="I16">
    <cfRule type="containsText" dxfId="13" priority="33" operator="containsText" text="Tontin ala 0!">
      <formula>NOT(ISERROR(SEARCH("Tontin ala 0!",I16)))</formula>
    </cfRule>
  </conditionalFormatting>
  <conditionalFormatting sqref="I15">
    <cfRule type="containsText" dxfId="12" priority="32" operator="containsText" text="Tontin">
      <formula>NOT(ISERROR(SEARCH("Tontin",I15)))</formula>
    </cfRule>
  </conditionalFormatting>
  <conditionalFormatting sqref="I15">
    <cfRule type="cellIs" dxfId="11" priority="31" operator="lessThan">
      <formula>G15</formula>
    </cfRule>
  </conditionalFormatting>
  <conditionalFormatting sqref="I18">
    <cfRule type="containsText" dxfId="10" priority="29" operator="containsText" text="Tontin">
      <formula>NOT(ISERROR(SEARCH("Tontin",I18)))</formula>
    </cfRule>
    <cfRule type="cellIs" dxfId="9" priority="30" operator="lessThan">
      <formula>G18</formula>
    </cfRule>
  </conditionalFormatting>
  <conditionalFormatting sqref="G14">
    <cfRule type="containsText" dxfId="8" priority="8" operator="containsText" text="Tontin">
      <formula>NOT(ISERROR(SEARCH("Tontin",G14)))</formula>
    </cfRule>
    <cfRule type="cellIs" dxfId="7" priority="9" operator="lessThan">
      <formula>E14</formula>
    </cfRule>
  </conditionalFormatting>
  <conditionalFormatting sqref="I14">
    <cfRule type="containsText" dxfId="6" priority="6" operator="containsText" text="Tontin">
      <formula>NOT(ISERROR(SEARCH("Tontin",I14)))</formula>
    </cfRule>
    <cfRule type="cellIs" dxfId="5" priority="7" operator="lessThan">
      <formula>G14</formula>
    </cfRule>
  </conditionalFormatting>
  <conditionalFormatting sqref="G17">
    <cfRule type="containsText" dxfId="4" priority="4" operator="containsText" text="Tontin ala 0!">
      <formula>NOT(ISERROR(SEARCH("Tontin ala 0!",G17)))</formula>
    </cfRule>
    <cfRule type="cellIs" dxfId="3" priority="5" operator="lessThan">
      <formula>#REF!</formula>
    </cfRule>
  </conditionalFormatting>
  <conditionalFormatting sqref="G17:H17">
    <cfRule type="cellIs" dxfId="2" priority="3" operator="lessThan">
      <formula>E17</formula>
    </cfRule>
  </conditionalFormatting>
  <conditionalFormatting sqref="I17">
    <cfRule type="containsText" dxfId="1" priority="2" operator="containsText" text="Tontin ala 0!">
      <formula>NOT(ISERROR(SEARCH("Tontin ala 0!",I17)))</formula>
    </cfRule>
  </conditionalFormatting>
  <conditionalFormatting sqref="I17">
    <cfRule type="cellIs" dxfId="0" priority="1" operator="lessThan">
      <formula>G17</formula>
    </cfRule>
  </conditionalFormatting>
  <printOptions horizontalCentered="1" verticalCentered="1"/>
  <pageMargins left="0" right="0" top="0" bottom="0" header="0" footer="0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C6F4BEB788A46B3755C0CE7BD6839" ma:contentTypeVersion="11" ma:contentTypeDescription="Create a new document." ma:contentTypeScope="" ma:versionID="a76e213642e0703fdbb2f1499911d524">
  <xsd:schema xmlns:xsd="http://www.w3.org/2001/XMLSchema" xmlns:xs="http://www.w3.org/2001/XMLSchema" xmlns:p="http://schemas.microsoft.com/office/2006/metadata/properties" xmlns:ns3="bedb1877-2386-4da1-8f77-47387d0a4cf2" xmlns:ns4="6c243400-c136-4dfb-8317-acfcb27db267" targetNamespace="http://schemas.microsoft.com/office/2006/metadata/properties" ma:root="true" ma:fieldsID="c4c9f659c9fff7c394b206f66b5f7487" ns3:_="" ns4:_="">
    <xsd:import namespace="bedb1877-2386-4da1-8f77-47387d0a4cf2"/>
    <xsd:import namespace="6c243400-c136-4dfb-8317-acfcb27db2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b1877-2386-4da1-8f77-47387d0a4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43400-c136-4dfb-8317-acfcb27db2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364083-E82F-4E3C-9566-B40B186396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1562BD-4D4C-467A-8FAF-8446571DACFC}">
  <ds:schemaRefs>
    <ds:schemaRef ds:uri="6c243400-c136-4dfb-8317-acfcb27db267"/>
    <ds:schemaRef ds:uri="http://schemas.microsoft.com/office/infopath/2007/PartnerControls"/>
    <ds:schemaRef ds:uri="bedb1877-2386-4da1-8f77-47387d0a4cf2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72218D-A911-4F69-A816-2ADCB05E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db1877-2386-4da1-8f77-47387d0a4cf2"/>
    <ds:schemaRef ds:uri="6c243400-c136-4dfb-8317-acfcb27db2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Tontin tiedot</vt:lpstr>
      <vt:lpstr>Siniviherkerroin</vt:lpstr>
      <vt:lpstr>Tulokset</vt:lpstr>
      <vt:lpstr>Tulokset!Tulostusalue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 Tiihonen</dc:creator>
  <cp:lastModifiedBy>Rantola Ilona</cp:lastModifiedBy>
  <cp:lastPrinted>2021-11-08T08:10:24Z</cp:lastPrinted>
  <dcterms:created xsi:type="dcterms:W3CDTF">2013-08-27T19:40:10Z</dcterms:created>
  <dcterms:modified xsi:type="dcterms:W3CDTF">2021-11-08T09:11:28Z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0x01010011FC6F4BEB788A46B3755C0CE7BD6839</vt:lpwstr>
  </property>
</Properties>
</file>